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agcc.sharepoint.com/sites/REE-ERS-OilCropsOutlook/Shared Documents/General/2024/OCS-24C March 2024/"/>
    </mc:Choice>
  </mc:AlternateContent>
  <xr:revisionPtr revIDLastSave="4497" documentId="8_{683CF8EE-25BA-4633-9C05-6A802624C744}" xr6:coauthVersionLast="47" xr6:coauthVersionMax="47" xr10:uidLastSave="{BBA499B8-F284-4449-BC45-A33ABA32E0EC}"/>
  <bookViews>
    <workbookView xWindow="-108" yWindow="-108" windowWidth="23256" windowHeight="12576" tabRatio="682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167" r:id="rId9"/>
    <sheet name="Figure 2" sheetId="156" r:id="rId10"/>
    <sheet name="Figure 3" sheetId="168" r:id="rId11"/>
    <sheet name="Figure 4" sheetId="154" r:id="rId12"/>
  </sheets>
  <definedNames>
    <definedName name="_xlnm.Print_Area" localSheetId="1">'Table 1'!$A$1:$N$37</definedName>
    <definedName name="_xlnm.Print_Area" localSheetId="7">'Table 10'!$A$1:$G$42</definedName>
    <definedName name="_xlnm.Print_Area" localSheetId="2">'Table 2'!$A$1:$J$31</definedName>
    <definedName name="_xlnm.Print_Area" localSheetId="3">'Table 3'!$A$1:$L$44</definedName>
    <definedName name="_xlnm.Print_Area" localSheetId="5">'Table 8'!$A$1:$G$41</definedName>
    <definedName name="_xlnm.Print_Area" localSheetId="6">'Table 9'!$A$1:$I$43</definedName>
    <definedName name="_xlnm.Print_Area" localSheetId="4">'Tables 4-7'!$A$1:$O$52</definedName>
    <definedName name="WASDE_Updated" localSheetId="0">Contents!#REF!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68" l="1"/>
  <c r="D5" i="168"/>
  <c r="D6" i="168"/>
  <c r="D7" i="168"/>
  <c r="D8" i="168"/>
  <c r="D3" i="168"/>
  <c r="K8" i="3" l="1"/>
  <c r="J8" i="2"/>
  <c r="I8" i="2"/>
  <c r="J8" i="3"/>
  <c r="J29" i="9"/>
  <c r="D29" i="9"/>
  <c r="H29" i="2"/>
  <c r="D29" i="2"/>
  <c r="G35" i="1"/>
  <c r="L35" i="1"/>
  <c r="C3" i="156"/>
  <c r="C4" i="156"/>
  <c r="C5" i="156"/>
  <c r="C6" i="156"/>
  <c r="C7" i="156"/>
  <c r="C8" i="156"/>
  <c r="C9" i="156"/>
  <c r="C10" i="156"/>
  <c r="C2" i="156"/>
  <c r="G11" i="9"/>
  <c r="G23" i="9"/>
  <c r="J35" i="1" l="1"/>
  <c r="E29" i="2"/>
  <c r="I29" i="2" s="1"/>
  <c r="B29" i="2"/>
  <c r="E29" i="9"/>
  <c r="K29" i="9" s="1"/>
  <c r="G29" i="9" s="1"/>
  <c r="I28" i="9"/>
  <c r="B29" i="9"/>
  <c r="G29" i="2" l="1"/>
  <c r="G34" i="1" l="1"/>
  <c r="D28" i="9"/>
  <c r="D28" i="2"/>
  <c r="H28" i="2"/>
  <c r="J28" i="9"/>
  <c r="L34" i="1"/>
  <c r="B28" i="9" l="1"/>
  <c r="E28" i="9" s="1"/>
  <c r="K28" i="9" s="1"/>
  <c r="G28" i="9" s="1"/>
  <c r="B28" i="2"/>
  <c r="E28" i="2" s="1"/>
  <c r="I28" i="2" s="1"/>
  <c r="G28" i="2" s="1"/>
  <c r="J34" i="1"/>
  <c r="H27" i="2"/>
  <c r="E14" i="1"/>
  <c r="G8" i="9" l="1"/>
  <c r="K8" i="9" s="1"/>
  <c r="J27" i="9" l="1"/>
  <c r="D27" i="9"/>
  <c r="D26" i="9"/>
  <c r="D27" i="2"/>
  <c r="E33" i="1"/>
  <c r="J32" i="1"/>
  <c r="L32" i="1" l="1"/>
  <c r="G32" i="1"/>
  <c r="B27" i="2" l="1"/>
  <c r="E27" i="2" s="1"/>
  <c r="I27" i="2" s="1"/>
  <c r="G27" i="2" s="1"/>
  <c r="B27" i="9"/>
  <c r="E27" i="9" s="1"/>
  <c r="K27" i="9" s="1"/>
  <c r="G27" i="9" s="1"/>
  <c r="I27" i="9" s="1"/>
  <c r="D6" i="9"/>
  <c r="J6" i="9"/>
  <c r="B11" i="9"/>
  <c r="B11" i="2"/>
  <c r="L31" i="1" l="1"/>
  <c r="G31" i="1"/>
  <c r="D26" i="2"/>
  <c r="H26" i="2"/>
  <c r="J26" i="9"/>
  <c r="J31" i="1" l="1"/>
  <c r="E6" i="9"/>
  <c r="G6" i="9" s="1"/>
  <c r="I6" i="9" s="1"/>
  <c r="K6" i="9" l="1"/>
  <c r="E6" i="2"/>
  <c r="H23" i="9"/>
  <c r="H7" i="9" s="1"/>
  <c r="I6" i="2" l="1"/>
  <c r="G6" i="2"/>
  <c r="L7" i="9"/>
  <c r="B8" i="9" s="1"/>
  <c r="J23" i="9"/>
  <c r="J7" i="9" s="1"/>
  <c r="D23" i="9"/>
  <c r="D7" i="9" s="1"/>
  <c r="C23" i="9"/>
  <c r="C7" i="9" s="1"/>
  <c r="J22" i="9"/>
  <c r="D22" i="9"/>
  <c r="B22" i="9"/>
  <c r="E22" i="9" s="1"/>
  <c r="K22" i="9" s="1"/>
  <c r="J21" i="9"/>
  <c r="D21" i="9"/>
  <c r="B21" i="9"/>
  <c r="J20" i="9"/>
  <c r="D20" i="9"/>
  <c r="B20" i="9"/>
  <c r="E20" i="9" s="1"/>
  <c r="K20" i="9" s="1"/>
  <c r="J19" i="9"/>
  <c r="D19" i="9"/>
  <c r="B19" i="9"/>
  <c r="J18" i="9"/>
  <c r="D18" i="9"/>
  <c r="B18" i="9"/>
  <c r="E18" i="9" s="1"/>
  <c r="K18" i="9" s="1"/>
  <c r="G18" i="9" s="1"/>
  <c r="I18" i="9" s="1"/>
  <c r="J17" i="9"/>
  <c r="D17" i="9"/>
  <c r="B17" i="9"/>
  <c r="J16" i="9"/>
  <c r="D16" i="9"/>
  <c r="B16" i="9"/>
  <c r="E16" i="9" s="1"/>
  <c r="K16" i="9" s="1"/>
  <c r="J15" i="9"/>
  <c r="D15" i="9"/>
  <c r="B15" i="9"/>
  <c r="J14" i="9"/>
  <c r="D14" i="9"/>
  <c r="B14" i="9"/>
  <c r="E14" i="9" s="1"/>
  <c r="K14" i="9" s="1"/>
  <c r="J13" i="9"/>
  <c r="D13" i="9"/>
  <c r="B13" i="9"/>
  <c r="J12" i="9"/>
  <c r="D12" i="9"/>
  <c r="B12" i="9"/>
  <c r="E12" i="9" s="1"/>
  <c r="K12" i="9" s="1"/>
  <c r="J11" i="9"/>
  <c r="D11" i="9"/>
  <c r="B26" i="2"/>
  <c r="E26" i="2" s="1"/>
  <c r="I26" i="2" s="1"/>
  <c r="G26" i="2" s="1"/>
  <c r="J7" i="2"/>
  <c r="H23" i="2"/>
  <c r="H7" i="2" s="1"/>
  <c r="D23" i="2"/>
  <c r="D7" i="2" s="1"/>
  <c r="C23" i="2"/>
  <c r="H22" i="2"/>
  <c r="D22" i="2"/>
  <c r="B22" i="2"/>
  <c r="H21" i="2"/>
  <c r="D21" i="2"/>
  <c r="B21" i="2"/>
  <c r="H20" i="2"/>
  <c r="D20" i="2"/>
  <c r="B20" i="2"/>
  <c r="E20" i="2" s="1"/>
  <c r="I20" i="2" s="1"/>
  <c r="G20" i="2" s="1"/>
  <c r="H19" i="2"/>
  <c r="D19" i="2"/>
  <c r="B19" i="2"/>
  <c r="H18" i="2"/>
  <c r="D18" i="2"/>
  <c r="B18" i="2"/>
  <c r="H17" i="2"/>
  <c r="D17" i="2"/>
  <c r="B17" i="2"/>
  <c r="H16" i="2"/>
  <c r="D16" i="2"/>
  <c r="B16" i="2"/>
  <c r="E16" i="2" s="1"/>
  <c r="I16" i="2" s="1"/>
  <c r="H15" i="2"/>
  <c r="D15" i="2"/>
  <c r="B15" i="2"/>
  <c r="E15" i="2" s="1"/>
  <c r="I15" i="2" s="1"/>
  <c r="G15" i="2" s="1"/>
  <c r="H14" i="2"/>
  <c r="D14" i="2"/>
  <c r="B14" i="2"/>
  <c r="H13" i="2"/>
  <c r="D13" i="2"/>
  <c r="B13" i="2"/>
  <c r="H12" i="2"/>
  <c r="D12" i="2"/>
  <c r="B12" i="2"/>
  <c r="E12" i="2" s="1"/>
  <c r="I12" i="2" s="1"/>
  <c r="G12" i="2" s="1"/>
  <c r="H11" i="2"/>
  <c r="D11" i="2"/>
  <c r="E11" i="2"/>
  <c r="I11" i="2" s="1"/>
  <c r="E19" i="9" l="1"/>
  <c r="K19" i="9" s="1"/>
  <c r="G19" i="9" s="1"/>
  <c r="I19" i="9" s="1"/>
  <c r="E19" i="2"/>
  <c r="G16" i="2"/>
  <c r="E13" i="9"/>
  <c r="K13" i="9" s="1"/>
  <c r="G12" i="9"/>
  <c r="I12" i="9" s="1"/>
  <c r="G16" i="9"/>
  <c r="I16" i="9" s="1"/>
  <c r="G20" i="9"/>
  <c r="I20" i="9" s="1"/>
  <c r="E14" i="2"/>
  <c r="I14" i="2" s="1"/>
  <c r="G14" i="2" s="1"/>
  <c r="E18" i="2"/>
  <c r="I18" i="2" s="1"/>
  <c r="G18" i="2" s="1"/>
  <c r="E22" i="2"/>
  <c r="I22" i="2" s="1"/>
  <c r="G22" i="2" s="1"/>
  <c r="G13" i="9"/>
  <c r="I13" i="9" s="1"/>
  <c r="C7" i="2"/>
  <c r="E23" i="2"/>
  <c r="I19" i="2"/>
  <c r="G19" i="2" s="1"/>
  <c r="G11" i="2"/>
  <c r="E17" i="9"/>
  <c r="K17" i="9" s="1"/>
  <c r="G17" i="9" s="1"/>
  <c r="I17" i="9" s="1"/>
  <c r="G22" i="9"/>
  <c r="I22" i="9" s="1"/>
  <c r="E15" i="9"/>
  <c r="K15" i="9" s="1"/>
  <c r="G15" i="9" s="1"/>
  <c r="I15" i="9" s="1"/>
  <c r="G14" i="9"/>
  <c r="I14" i="9" s="1"/>
  <c r="E21" i="9"/>
  <c r="K21" i="9" s="1"/>
  <c r="G21" i="9" s="1"/>
  <c r="I21" i="9" s="1"/>
  <c r="E11" i="9"/>
  <c r="K11" i="9" s="1"/>
  <c r="E23" i="9"/>
  <c r="E7" i="9" s="1"/>
  <c r="E13" i="2"/>
  <c r="I13" i="2" s="1"/>
  <c r="G13" i="2" s="1"/>
  <c r="E17" i="2"/>
  <c r="I17" i="2" s="1"/>
  <c r="G17" i="2" s="1"/>
  <c r="E21" i="2"/>
  <c r="I21" i="2" s="1"/>
  <c r="G21" i="2" s="1"/>
  <c r="J17" i="1"/>
  <c r="G15" i="1"/>
  <c r="B38" i="1"/>
  <c r="E46" i="3"/>
  <c r="N46" i="3"/>
  <c r="I23" i="2" l="1"/>
  <c r="I23" i="9"/>
  <c r="G23" i="2"/>
  <c r="K23" i="9"/>
  <c r="I11" i="9"/>
  <c r="G30" i="1"/>
  <c r="G33" i="1" l="1"/>
  <c r="H33" i="1" s="1"/>
  <c r="M33" i="1" s="1"/>
  <c r="L30" i="1"/>
  <c r="L33" i="1" s="1"/>
  <c r="J30" i="1" l="1"/>
  <c r="J33" i="1" s="1"/>
  <c r="K33" i="1" s="1"/>
  <c r="E8" i="1" l="1"/>
  <c r="L27" i="1"/>
  <c r="L7" i="1" s="1"/>
  <c r="G27" i="1"/>
  <c r="G7" i="1" s="1"/>
  <c r="L25" i="1"/>
  <c r="J25" i="1"/>
  <c r="G25" i="1"/>
  <c r="L24" i="1"/>
  <c r="J24" i="1"/>
  <c r="G24" i="1"/>
  <c r="L23" i="1"/>
  <c r="J23" i="1"/>
  <c r="G23" i="1"/>
  <c r="E26" i="1"/>
  <c r="L21" i="1"/>
  <c r="J21" i="1"/>
  <c r="G21" i="1"/>
  <c r="L20" i="1"/>
  <c r="J20" i="1"/>
  <c r="G20" i="1"/>
  <c r="L19" i="1"/>
  <c r="J19" i="1"/>
  <c r="G19" i="1"/>
  <c r="N18" i="1"/>
  <c r="E22" i="1" s="1"/>
  <c r="L17" i="1"/>
  <c r="G17" i="1"/>
  <c r="L16" i="1"/>
  <c r="J16" i="1"/>
  <c r="G16" i="1"/>
  <c r="L15" i="1"/>
  <c r="J15" i="1"/>
  <c r="N14" i="1"/>
  <c r="E18" i="1" s="1"/>
  <c r="L13" i="1"/>
  <c r="J13" i="1"/>
  <c r="G13" i="1"/>
  <c r="L12" i="1"/>
  <c r="J12" i="1"/>
  <c r="G12" i="1"/>
  <c r="L11" i="1"/>
  <c r="J11" i="1"/>
  <c r="G11" i="1"/>
  <c r="H6" i="1"/>
  <c r="M6" i="1" s="1"/>
  <c r="I32" i="3"/>
  <c r="L14" i="1" l="1"/>
  <c r="L18" i="1"/>
  <c r="G26" i="1"/>
  <c r="H26" i="1" s="1"/>
  <c r="M26" i="1" s="1"/>
  <c r="G14" i="1"/>
  <c r="H14" i="1" s="1"/>
  <c r="M14" i="1" s="1"/>
  <c r="J22" i="1"/>
  <c r="L22" i="1"/>
  <c r="G18" i="1"/>
  <c r="H18" i="1" s="1"/>
  <c r="M18" i="1" s="1"/>
  <c r="J18" i="1"/>
  <c r="J26" i="1"/>
  <c r="L26" i="1"/>
  <c r="G22" i="1"/>
  <c r="H22" i="1" s="1"/>
  <c r="M22" i="1" s="1"/>
  <c r="J14" i="1"/>
  <c r="D7" i="1"/>
  <c r="K14" i="1" l="1"/>
  <c r="K26" i="1"/>
  <c r="K18" i="1"/>
  <c r="J27" i="1"/>
  <c r="J7" i="1" s="1"/>
  <c r="K22" i="1"/>
  <c r="D46" i="3" l="1"/>
  <c r="I33" i="3" l="1"/>
  <c r="D8" i="1" l="1"/>
  <c r="M8" i="1" l="1"/>
  <c r="I21" i="3" l="1"/>
  <c r="B26" i="9" l="1"/>
  <c r="E26" i="9" l="1"/>
  <c r="K26" i="9" s="1"/>
  <c r="G26" i="9" s="1"/>
  <c r="I26" i="9" s="1"/>
  <c r="K7" i="9"/>
  <c r="G7" i="9" s="1"/>
  <c r="I7" i="9" l="1"/>
  <c r="B7" i="9"/>
  <c r="B44" i="6" l="1"/>
  <c r="B44" i="5"/>
  <c r="B43" i="4"/>
  <c r="B50" i="3"/>
  <c r="B32" i="9"/>
  <c r="B32" i="2"/>
  <c r="E7" i="1" l="1"/>
  <c r="H7" i="1" s="1"/>
  <c r="M7" i="1" s="1"/>
  <c r="K7" i="1" s="1"/>
  <c r="D45" i="3" l="1"/>
  <c r="E45" i="3" l="1"/>
  <c r="H45" i="3" s="1"/>
  <c r="N45" i="3" s="1"/>
  <c r="L45" i="3" s="1"/>
  <c r="B32" i="3"/>
  <c r="E32" i="3" s="1"/>
  <c r="J32" i="3" s="1"/>
  <c r="B20" i="3"/>
  <c r="E20" i="3" s="1"/>
  <c r="G20" i="3" s="1"/>
  <c r="B7" i="3"/>
  <c r="E7" i="3" s="1"/>
  <c r="J7" i="3" s="1"/>
  <c r="H46" i="3" l="1"/>
  <c r="O46" i="3" s="1"/>
  <c r="I20" i="3"/>
  <c r="B21" i="3" s="1"/>
  <c r="E21" i="3" s="1"/>
  <c r="J21" i="3" s="1"/>
  <c r="H8" i="1" l="1"/>
  <c r="N8" i="1" s="1"/>
  <c r="D44" i="3" l="1"/>
  <c r="D6" i="1"/>
  <c r="E6" i="3" l="1"/>
  <c r="E19" i="3"/>
  <c r="G19" i="3" s="1"/>
  <c r="I19" i="3" s="1"/>
  <c r="H44" i="3"/>
  <c r="J6" i="3" l="1"/>
  <c r="I6" i="3" s="1"/>
  <c r="N44" i="3"/>
  <c r="L44" i="3" s="1"/>
  <c r="E31" i="3"/>
  <c r="I31" i="3" s="1"/>
  <c r="G31" i="3" s="1"/>
  <c r="K6" i="1" l="1"/>
  <c r="B33" i="3" l="1"/>
  <c r="E33" i="3" s="1"/>
  <c r="J33" i="3" s="1"/>
  <c r="E8" i="9" l="1"/>
  <c r="L8" i="9" s="1"/>
  <c r="B8" i="3" l="1"/>
  <c r="E8" i="3" s="1"/>
  <c r="I7" i="3"/>
  <c r="B8" i="2" l="1"/>
  <c r="E8" i="2" s="1"/>
  <c r="B7" i="2"/>
  <c r="E7" i="2" s="1"/>
  <c r="I7" i="2" l="1"/>
  <c r="G7" i="2"/>
</calcChain>
</file>

<file path=xl/sharedStrings.xml><?xml version="1.0" encoding="utf-8"?>
<sst xmlns="http://schemas.openxmlformats.org/spreadsheetml/2006/main" count="530" uniqueCount="181">
  <si>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</si>
  <si>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</si>
  <si>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</si>
  <si>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</si>
  <si>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</si>
  <si>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</si>
  <si>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</si>
  <si>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</si>
  <si>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</si>
  <si>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</si>
  <si>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</si>
  <si>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Contact: Maria Bukowski; Bryn Swearingen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</si>
  <si>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</si>
  <si>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</si>
  <si>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</si>
  <si>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</si>
  <si>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</si>
  <si>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</si>
  <si>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</si>
  <si>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</si>
  <si>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</si>
  <si>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</si>
  <si>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</si>
  <si>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</si>
  <si>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</si>
  <si>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</si>
  <si>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</si>
  <si>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</si>
  <si>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</si>
  <si>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</si>
  <si>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</si>
  <si>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</si>
  <si>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</si>
  <si>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</si>
  <si>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2021/22</t>
  </si>
  <si>
    <r>
      <t>2022/23</t>
    </r>
    <r>
      <rPr>
        <vertAlign val="superscript"/>
        <sz val="11"/>
        <rFont val="Arial"/>
        <family val="2"/>
      </rPr>
      <t>1</t>
    </r>
  </si>
  <si>
    <r>
      <t>2023/24</t>
    </r>
    <r>
      <rPr>
        <vertAlign val="superscript"/>
        <sz val="11"/>
        <rFont val="Arial"/>
        <family val="2"/>
      </rPr>
      <t>2</t>
    </r>
  </si>
  <si>
    <t>2022/23</t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</si>
  <si>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</si>
  <si>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</si>
  <si>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</si>
  <si>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</si>
  <si>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</si>
  <si>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</si>
  <si>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</si>
  <si>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</si>
  <si>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</si>
  <si>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</si>
  <si>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</si>
  <si>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</si>
  <si>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</si>
  <si>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</si>
  <si>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</si>
  <si>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 xml:space="preserve">  June–August</t>
  </si>
  <si>
    <t>2023/24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</si>
  <si>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36.74371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</si>
  <si>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</si>
  <si>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</si>
  <si>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</si>
  <si>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</si>
  <si>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</si>
  <si>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</si>
  <si>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</si>
  <si>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</si>
  <si>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</si>
  <si>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</si>
  <si>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</si>
  <si>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</si>
  <si>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</si>
  <si>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</si>
  <si>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</si>
  <si>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</si>
  <si>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</si>
  <si>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</si>
  <si>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</si>
  <si>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</si>
  <si>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r>
      <t>2021/22</t>
    </r>
    <r>
      <rPr>
        <vertAlign val="superscript"/>
        <sz val="11"/>
        <rFont val="Arial"/>
        <family val="2"/>
      </rPr>
      <t>1</t>
    </r>
  </si>
  <si>
    <r>
      <t>2022/23</t>
    </r>
    <r>
      <rPr>
        <vertAlign val="superscript"/>
        <sz val="11"/>
        <rFont val="Arial"/>
        <family val="2"/>
      </rPr>
      <t>2</t>
    </r>
  </si>
  <si>
    <t>NA</t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</si>
  <si>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</si>
  <si>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</si>
  <si>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</si>
  <si>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</si>
  <si>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</si>
  <si>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</si>
  <si>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</si>
  <si>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</si>
  <si>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</si>
  <si>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Economic Research Service using USDA,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</si>
  <si>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</si>
  <si>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</si>
  <si>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</si>
  <si>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Economic Research Service using USDA, Foreign Agricultural Service, </t>
    </r>
    <r>
      <rPr>
        <i/>
        <sz val="11"/>
        <rFont val="Arial"/>
        <family val="2"/>
      </rPr>
      <t xml:space="preserve">Production, Supply and Distribution </t>
    </r>
    <r>
      <rPr>
        <sz val="11"/>
        <rFont val="Arial"/>
        <family val="2"/>
      </rPr>
      <t>database</t>
    </r>
    <r>
      <rPr>
        <i/>
        <sz val="11"/>
        <rFont val="Arial"/>
        <family val="2"/>
      </rPr>
      <t>.</t>
    </r>
  </si>
  <si>
    <t xml:space="preserve">food </t>
  </si>
  <si>
    <t>1,000 acres</t>
  </si>
  <si>
    <t>Pounds per acre</t>
  </si>
  <si>
    <t xml:space="preserve">      Million pounds</t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</si>
  <si>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</si>
  <si>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</si>
  <si>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</si>
  <si>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</si>
  <si>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</si>
  <si>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</si>
  <si>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</si>
  <si>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</si>
  <si>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</si>
  <si>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</si>
  <si>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</si>
  <si>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</si>
  <si>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</si>
  <si>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</si>
  <si>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</si>
  <si>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</si>
  <si>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</si>
  <si>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</si>
  <si>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</si>
  <si>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</si>
  <si>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</si>
  <si>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</si>
  <si>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</si>
  <si>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</si>
  <si>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r>
      <t>2022/23</t>
    </r>
    <r>
      <rPr>
        <vertAlign val="superscript"/>
        <sz val="11"/>
        <rFont val="Arial"/>
        <family val="2"/>
      </rPr>
      <t>4</t>
    </r>
  </si>
  <si>
    <r>
      <t>2023/24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</si>
  <si>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</si>
  <si>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</si>
  <si>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</si>
  <si>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</si>
  <si>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Sunflower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</si>
  <si>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</si>
  <si>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</si>
  <si>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</si>
  <si>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</si>
  <si>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</si>
  <si>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</si>
  <si>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</si>
  <si>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</si>
  <si>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</si>
  <si>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</si>
  <si>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</si>
  <si>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t>------------------------------------------------------- Cents per pound----------------------------------------------</t>
  </si>
  <si>
    <r>
      <t>2022/23</t>
    </r>
    <r>
      <rPr>
        <vertAlign val="superscript"/>
        <sz val="11"/>
        <rFont val="Arial"/>
        <family val="2"/>
      </rPr>
      <t>7</t>
    </r>
  </si>
  <si>
    <r>
      <t>2023/24</t>
    </r>
    <r>
      <rPr>
        <vertAlign val="superscript"/>
        <sz val="11"/>
        <rFont val="Arial"/>
        <family val="2"/>
      </rPr>
      <t>7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</si>
  <si>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</si>
  <si>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Central United States.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</si>
  <si>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</si>
  <si>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</si>
  <si>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</si>
  <si>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</si>
  <si>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</si>
  <si>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</si>
  <si>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</si>
  <si>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</si>
  <si>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</si>
  <si>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</si>
  <si>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</si>
  <si>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</si>
  <si>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Report.</t>
    </r>
  </si>
  <si>
    <t>Marketing year</t>
  </si>
  <si>
    <t>2023/24*</t>
  </si>
  <si>
    <t>Projection</t>
  </si>
  <si>
    <t>Meal price</t>
  </si>
  <si>
    <t>Marketing year (October-September)</t>
  </si>
  <si>
    <t>Argentina</t>
  </si>
  <si>
    <t>Brazil</t>
  </si>
  <si>
    <t>United States</t>
  </si>
  <si>
    <t>Rest of world</t>
  </si>
  <si>
    <t>China</t>
  </si>
  <si>
    <t>2023/24 (Feb)</t>
  </si>
  <si>
    <t>2023/24 (Mar)</t>
  </si>
  <si>
    <t>Oct.–Jan. exports</t>
  </si>
  <si>
    <t>Remaining projection</t>
  </si>
  <si>
    <t>Difference</t>
  </si>
  <si>
    <t>January - December</t>
  </si>
  <si>
    <t>Reported exports to China</t>
  </si>
  <si>
    <t>Imports reported by China</t>
  </si>
  <si>
    <t>China imports from Argentina, Brazil, and the United States</t>
  </si>
  <si>
    <t>Month</t>
  </si>
  <si>
    <t>2022/23 Exports</t>
  </si>
  <si>
    <t>2023/24 Exports</t>
  </si>
  <si>
    <t>2022/23 Price spread</t>
  </si>
  <si>
    <t>2023/24 Price spread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</si>
</sst>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0.0%"/>
    <numFmt numFmtId="173" formatCode="#,##0.0000"/>
    <numFmt numFmtId="174" formatCode="#,##0.0_);\(#,##0.0\)"/>
    <numFmt numFmtId="175" formatCode="#,##0.00000"/>
    <numFmt numFmtId="176" formatCode="0.000000"/>
    <numFmt numFmtId="177" formatCode="0.0000000"/>
    <numFmt numFmtId="178" formatCode="_(* #,##0.0_);_(* \(#,##0.0\);_(* &quot;-&quot;_);_(@_)"/>
    <numFmt numFmtId="179" formatCode="_(* #,##0.0_);_(* \(#,##0.0\);_(* &quot;-&quot;?_);_(@_)"/>
    <numFmt numFmtId="180" formatCode="_(* #,##0.000_);_(* \(#,##0.000\);_(* &quot;-&quot;???_);_(@_)"/>
  </numFmts>
  <fonts count="6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0">
    <xf numFmtId="0" fontId="0" fillId="0" borderId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39" fillId="0" borderId="0"/>
    <xf numFmtId="0" fontId="39" fillId="0" borderId="0"/>
    <xf numFmtId="0" fontId="39" fillId="0" borderId="0"/>
    <xf numFmtId="0" fontId="50" fillId="0" borderId="0"/>
    <xf numFmtId="9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0" fontId="52" fillId="0" borderId="0"/>
    <xf numFmtId="0" fontId="37" fillId="0" borderId="0"/>
    <xf numFmtId="0" fontId="36" fillId="0" borderId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43" fontId="34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32" fillId="0" borderId="0"/>
    <xf numFmtId="0" fontId="31" fillId="0" borderId="0"/>
    <xf numFmtId="43" fontId="31" fillId="0" borderId="0" applyFont="0" applyFill="0" applyBorder="0" applyAlignment="0" applyProtection="0"/>
    <xf numFmtId="0" fontId="30" fillId="0" borderId="0"/>
    <xf numFmtId="44" fontId="38" fillId="0" borderId="0" applyFont="0" applyFill="0" applyBorder="0" applyAlignment="0" applyProtection="0"/>
    <xf numFmtId="0" fontId="29" fillId="0" borderId="0"/>
    <xf numFmtId="0" fontId="28" fillId="0" borderId="0"/>
    <xf numFmtId="0" fontId="27" fillId="0" borderId="0"/>
    <xf numFmtId="0" fontId="26" fillId="0" borderId="0"/>
    <xf numFmtId="43" fontId="25" fillId="0" borderId="0" applyFont="0" applyFill="0" applyBorder="0" applyAlignment="0" applyProtection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64" fillId="0" borderId="0"/>
  </cellStyleXfs>
  <cellXfs count="188">
    <xf numFmtId="0" fontId="0" fillId="0" borderId="0" xfId="0"/>
    <xf numFmtId="0" fontId="39" fillId="0" borderId="0" xfId="8"/>
    <xf numFmtId="0" fontId="40" fillId="0" borderId="0" xfId="8" applyFont="1"/>
    <xf numFmtId="0" fontId="45" fillId="0" borderId="0" xfId="8" applyFont="1"/>
    <xf numFmtId="0" fontId="46" fillId="0" borderId="0" xfId="8" applyFont="1"/>
    <xf numFmtId="169" fontId="47" fillId="0" borderId="0" xfId="1" applyNumberFormat="1" applyFont="1" applyFill="1" applyBorder="1" applyAlignment="1">
      <alignment horizontal="center"/>
    </xf>
    <xf numFmtId="169" fontId="47" fillId="0" borderId="0" xfId="1" applyNumberFormat="1" applyFont="1" applyFill="1" applyBorder="1" applyAlignment="1">
      <alignment horizontal="right" indent="1"/>
    </xf>
    <xf numFmtId="0" fontId="53" fillId="0" borderId="0" xfId="7" applyFont="1" applyAlignment="1">
      <alignment horizontal="left"/>
    </xf>
    <xf numFmtId="0" fontId="54" fillId="0" borderId="0" xfId="5" applyFont="1" applyAlignment="1" applyProtection="1"/>
    <xf numFmtId="14" fontId="53" fillId="0" borderId="0" xfId="7" applyNumberFormat="1" applyFont="1" applyAlignment="1">
      <alignment horizontal="left"/>
    </xf>
    <xf numFmtId="0" fontId="54" fillId="0" borderId="0" xfId="4" applyFont="1" applyAlignment="1" applyProtection="1"/>
    <xf numFmtId="0" fontId="47" fillId="0" borderId="0" xfId="7" quotePrefix="1" applyFont="1" applyAlignment="1">
      <alignment horizontal="left"/>
    </xf>
    <xf numFmtId="0" fontId="47" fillId="0" borderId="0" xfId="8" applyFont="1" applyAlignment="1">
      <alignment wrapText="1"/>
    </xf>
    <xf numFmtId="169" fontId="47" fillId="0" borderId="0" xfId="1" applyNumberFormat="1" applyFont="1" applyFill="1" applyBorder="1" applyAlignment="1">
      <alignment horizontal="right"/>
    </xf>
    <xf numFmtId="0" fontId="47" fillId="0" borderId="1" xfId="0" applyFont="1" applyBorder="1"/>
    <xf numFmtId="0" fontId="47" fillId="0" borderId="0" xfId="0" applyFont="1"/>
    <xf numFmtId="0" fontId="47" fillId="0" borderId="2" xfId="0" applyFont="1" applyBorder="1" applyAlignment="1">
      <alignment horizontal="right"/>
    </xf>
    <xf numFmtId="0" fontId="47" fillId="0" borderId="0" xfId="0" applyFont="1" applyAlignment="1">
      <alignment horizontal="center"/>
    </xf>
    <xf numFmtId="0" fontId="0" fillId="0" borderId="2" xfId="0" applyBorder="1"/>
    <xf numFmtId="0" fontId="47" fillId="0" borderId="2" xfId="0" applyFont="1" applyBorder="1" applyAlignment="1">
      <alignment horizontal="left"/>
    </xf>
    <xf numFmtId="0" fontId="47" fillId="0" borderId="0" xfId="0" applyFont="1" applyAlignment="1">
      <alignment horizontal="right"/>
    </xf>
    <xf numFmtId="16" fontId="47" fillId="0" borderId="1" xfId="0" quotePrefix="1" applyNumberFormat="1" applyFont="1" applyBorder="1"/>
    <xf numFmtId="16" fontId="47" fillId="0" borderId="1" xfId="0" applyNumberFormat="1" applyFont="1" applyBorder="1"/>
    <xf numFmtId="0" fontId="47" fillId="0" borderId="1" xfId="0" applyFont="1" applyBorder="1" applyAlignment="1">
      <alignment horizontal="center"/>
    </xf>
    <xf numFmtId="0" fontId="47" fillId="0" borderId="1" xfId="0" applyFont="1" applyBorder="1" applyAlignment="1">
      <alignment horizontal="right"/>
    </xf>
    <xf numFmtId="0" fontId="47" fillId="0" borderId="1" xfId="0" applyFont="1" applyBorder="1" applyAlignment="1">
      <alignment horizontal="right" indent="1"/>
    </xf>
    <xf numFmtId="0" fontId="0" fillId="0" borderId="0" xfId="0" applyAlignment="1">
      <alignment horizontal="left" indent="1"/>
    </xf>
    <xf numFmtId="0" fontId="48" fillId="0" borderId="0" xfId="0" quotePrefix="1" applyFont="1" applyAlignment="1">
      <alignment horizontal="right"/>
    </xf>
    <xf numFmtId="3" fontId="47" fillId="0" borderId="0" xfId="1" applyNumberFormat="1" applyFont="1" applyFill="1" applyBorder="1" applyAlignment="1">
      <alignment horizontal="right" indent="1"/>
    </xf>
    <xf numFmtId="164" fontId="47" fillId="0" borderId="0" xfId="1" applyNumberFormat="1" applyFont="1" applyFill="1" applyBorder="1"/>
    <xf numFmtId="164" fontId="47" fillId="0" borderId="0" xfId="1" applyNumberFormat="1" applyFont="1" applyFill="1" applyBorder="1" applyAlignment="1">
      <alignment horizontal="right"/>
    </xf>
    <xf numFmtId="0" fontId="53" fillId="0" borderId="0" xfId="0" applyFont="1"/>
    <xf numFmtId="169" fontId="47" fillId="0" borderId="0" xfId="1" quotePrefix="1" applyNumberFormat="1" applyFont="1" applyFill="1" applyBorder="1" applyAlignment="1">
      <alignment horizontal="right"/>
    </xf>
    <xf numFmtId="164" fontId="47" fillId="0" borderId="0" xfId="1" applyNumberFormat="1" applyFont="1" applyFill="1" applyBorder="1" applyAlignment="1">
      <alignment horizontal="center"/>
    </xf>
    <xf numFmtId="164" fontId="47" fillId="0" borderId="0" xfId="1" quotePrefix="1" applyNumberFormat="1" applyFont="1" applyFill="1" applyBorder="1" applyAlignment="1">
      <alignment horizontal="center"/>
    </xf>
    <xf numFmtId="169" fontId="0" fillId="0" borderId="0" xfId="0" applyNumberFormat="1"/>
    <xf numFmtId="164" fontId="47" fillId="0" borderId="0" xfId="1" applyNumberFormat="1" applyFont="1" applyFill="1"/>
    <xf numFmtId="14" fontId="47" fillId="0" borderId="0" xfId="0" applyNumberFormat="1" applyFont="1" applyAlignment="1">
      <alignment horizontal="left"/>
    </xf>
    <xf numFmtId="3" fontId="47" fillId="0" borderId="0" xfId="1" applyNumberFormat="1" applyFont="1" applyFill="1" applyAlignment="1">
      <alignment horizontal="right" indent="2"/>
    </xf>
    <xf numFmtId="3" fontId="47" fillId="0" borderId="0" xfId="1" applyNumberFormat="1" applyFont="1" applyFill="1" applyAlignment="1">
      <alignment horizontal="right" indent="1"/>
    </xf>
    <xf numFmtId="3" fontId="47" fillId="0" borderId="0" xfId="1" applyNumberFormat="1" applyFont="1" applyFill="1" applyAlignment="1">
      <alignment horizontal="center"/>
    </xf>
    <xf numFmtId="169" fontId="47" fillId="0" borderId="0" xfId="1" applyNumberFormat="1" applyFont="1" applyFill="1" applyBorder="1" applyAlignment="1">
      <alignment horizontal="right" indent="2"/>
    </xf>
    <xf numFmtId="0" fontId="49" fillId="0" borderId="0" xfId="0" applyFont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5" fontId="47" fillId="0" borderId="1" xfId="1" applyNumberFormat="1" applyFont="1" applyFill="1" applyBorder="1" applyAlignment="1">
      <alignment horizontal="right"/>
    </xf>
    <xf numFmtId="16" fontId="47" fillId="0" borderId="0" xfId="0" applyNumberFormat="1" applyFont="1"/>
    <xf numFmtId="0" fontId="48" fillId="0" borderId="0" xfId="0" applyFont="1" applyAlignment="1">
      <alignment horizontal="center"/>
    </xf>
    <xf numFmtId="2" fontId="47" fillId="0" borderId="0" xfId="0" applyNumberFormat="1" applyFont="1" applyAlignment="1">
      <alignment horizontal="right" indent="2"/>
    </xf>
    <xf numFmtId="170" fontId="47" fillId="0" borderId="0" xfId="0" applyNumberFormat="1" applyFont="1"/>
    <xf numFmtId="43" fontId="47" fillId="0" borderId="0" xfId="1" quotePrefix="1" applyFont="1" applyFill="1" applyBorder="1" applyAlignment="1">
      <alignment horizontal="center"/>
    </xf>
    <xf numFmtId="166" fontId="47" fillId="0" borderId="0" xfId="1" quotePrefix="1" applyNumberFormat="1" applyFont="1" applyFill="1" applyBorder="1" applyAlignment="1">
      <alignment horizontal="center"/>
    </xf>
    <xf numFmtId="43" fontId="47" fillId="0" borderId="0" xfId="1" applyFont="1" applyFill="1" applyBorder="1" applyAlignment="1">
      <alignment horizontal="center"/>
    </xf>
    <xf numFmtId="0" fontId="53" fillId="0" borderId="0" xfId="0" quotePrefix="1" applyFont="1"/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indent="1"/>
    </xf>
    <xf numFmtId="0" fontId="47" fillId="0" borderId="3" xfId="0" applyFont="1" applyBorder="1" applyAlignment="1">
      <alignment horizontal="center"/>
    </xf>
    <xf numFmtId="0" fontId="47" fillId="0" borderId="1" xfId="0" applyFont="1" applyBorder="1" applyAlignment="1">
      <alignment horizontal="left"/>
    </xf>
    <xf numFmtId="0" fontId="48" fillId="0" borderId="3" xfId="0" quotePrefix="1" applyFont="1" applyBorder="1"/>
    <xf numFmtId="0" fontId="48" fillId="0" borderId="3" xfId="0" applyFont="1" applyBorder="1"/>
    <xf numFmtId="2" fontId="47" fillId="0" borderId="0" xfId="0" applyNumberFormat="1" applyFont="1" applyAlignment="1">
      <alignment horizontal="center"/>
    </xf>
    <xf numFmtId="43" fontId="47" fillId="0" borderId="0" xfId="0" applyNumberFormat="1" applyFont="1"/>
    <xf numFmtId="0" fontId="42" fillId="0" borderId="0" xfId="0" applyFont="1"/>
    <xf numFmtId="2" fontId="0" fillId="0" borderId="0" xfId="0" applyNumberFormat="1"/>
    <xf numFmtId="165" fontId="47" fillId="0" borderId="0" xfId="1" applyNumberFormat="1" applyFont="1" applyFill="1" applyBorder="1" applyAlignment="1">
      <alignment horizontal="center"/>
    </xf>
    <xf numFmtId="47" fontId="0" fillId="0" borderId="0" xfId="0" applyNumberFormat="1"/>
    <xf numFmtId="43" fontId="0" fillId="0" borderId="0" xfId="1" applyFont="1" applyFill="1"/>
    <xf numFmtId="0" fontId="51" fillId="0" borderId="0" xfId="0" applyFont="1" applyAlignment="1">
      <alignment vertical="center"/>
    </xf>
    <xf numFmtId="2" fontId="47" fillId="0" borderId="0" xfId="0" applyNumberFormat="1" applyFont="1"/>
    <xf numFmtId="43" fontId="0" fillId="0" borderId="0" xfId="1" applyFont="1" applyFill="1" applyBorder="1"/>
    <xf numFmtId="43" fontId="0" fillId="0" borderId="0" xfId="0" applyNumberFormat="1"/>
    <xf numFmtId="0" fontId="47" fillId="0" borderId="3" xfId="0" applyFont="1" applyBorder="1"/>
    <xf numFmtId="165" fontId="47" fillId="0" borderId="0" xfId="1" applyNumberFormat="1" applyFont="1" applyFill="1"/>
    <xf numFmtId="37" fontId="47" fillId="0" borderId="0" xfId="1" applyNumberFormat="1" applyFont="1" applyFill="1" applyBorder="1" applyAlignment="1">
      <alignment horizontal="center"/>
    </xf>
    <xf numFmtId="165" fontId="47" fillId="0" borderId="0" xfId="1" applyNumberFormat="1" applyFont="1" applyFill="1" applyBorder="1"/>
    <xf numFmtId="9" fontId="47" fillId="0" borderId="0" xfId="12" applyFont="1" applyFill="1"/>
    <xf numFmtId="0" fontId="48" fillId="0" borderId="4" xfId="0" applyFont="1" applyBorder="1" applyAlignment="1">
      <alignment horizontal="center"/>
    </xf>
    <xf numFmtId="14" fontId="47" fillId="0" borderId="0" xfId="0" applyNumberFormat="1" applyFont="1" applyAlignment="1">
      <alignment horizontal="right" inden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169" fontId="47" fillId="0" borderId="0" xfId="1" applyNumberFormat="1" applyFont="1" applyFill="1" applyAlignment="1">
      <alignment horizontal="center"/>
    </xf>
    <xf numFmtId="0" fontId="49" fillId="0" borderId="3" xfId="0" applyFont="1" applyBorder="1"/>
    <xf numFmtId="164" fontId="47" fillId="0" borderId="3" xfId="0" applyNumberFormat="1" applyFont="1" applyBorder="1"/>
    <xf numFmtId="171" fontId="0" fillId="0" borderId="0" xfId="1" applyNumberFormat="1" applyFont="1" applyFill="1" applyBorder="1"/>
    <xf numFmtId="0" fontId="38" fillId="0" borderId="0" xfId="8" applyFont="1"/>
    <xf numFmtId="0" fontId="38" fillId="0" borderId="0" xfId="0" applyFont="1"/>
    <xf numFmtId="4" fontId="56" fillId="0" borderId="0" xfId="0" applyNumberFormat="1" applyFont="1"/>
    <xf numFmtId="172" fontId="42" fillId="0" borderId="0" xfId="12" applyNumberFormat="1" applyFont="1" applyFill="1"/>
    <xf numFmtId="4" fontId="0" fillId="0" borderId="0" xfId="0" applyNumberFormat="1"/>
    <xf numFmtId="173" fontId="56" fillId="0" borderId="0" xfId="0" applyNumberFormat="1" applyFont="1"/>
    <xf numFmtId="164" fontId="47" fillId="2" borderId="0" xfId="1" applyNumberFormat="1" applyFont="1" applyFill="1" applyBorder="1" applyAlignment="1">
      <alignment horizontal="center"/>
    </xf>
    <xf numFmtId="2" fontId="55" fillId="0" borderId="0" xfId="0" applyNumberFormat="1" applyFont="1" applyAlignment="1">
      <alignment horizontal="center"/>
    </xf>
    <xf numFmtId="37" fontId="47" fillId="0" borderId="0" xfId="0" applyNumberFormat="1" applyFont="1" applyAlignment="1">
      <alignment vertical="center" wrapText="1"/>
    </xf>
    <xf numFmtId="172" fontId="0" fillId="0" borderId="0" xfId="12" applyNumberFormat="1" applyFont="1"/>
    <xf numFmtId="2" fontId="55" fillId="0" borderId="0" xfId="0" applyNumberFormat="1" applyFont="1" applyAlignment="1">
      <alignment horizontal="right" indent="2"/>
    </xf>
    <xf numFmtId="9" fontId="0" fillId="0" borderId="0" xfId="12" applyFont="1"/>
    <xf numFmtId="3" fontId="55" fillId="0" borderId="0" xfId="1" applyNumberFormat="1" applyFont="1" applyFill="1" applyBorder="1" applyAlignment="1">
      <alignment horizontal="right"/>
    </xf>
    <xf numFmtId="3" fontId="38" fillId="0" borderId="0" xfId="0" applyNumberFormat="1" applyFont="1"/>
    <xf numFmtId="3" fontId="47" fillId="0" borderId="0" xfId="1" quotePrefix="1" applyNumberFormat="1" applyFont="1" applyFill="1" applyBorder="1" applyAlignment="1">
      <alignment horizontal="right"/>
    </xf>
    <xf numFmtId="175" fontId="0" fillId="0" borderId="0" xfId="0" applyNumberFormat="1"/>
    <xf numFmtId="176" fontId="0" fillId="0" borderId="0" xfId="0" applyNumberFormat="1"/>
    <xf numFmtId="177" fontId="0" fillId="0" borderId="0" xfId="0" applyNumberFormat="1"/>
    <xf numFmtId="169" fontId="47" fillId="0" borderId="0" xfId="1" applyNumberFormat="1" applyFont="1" applyAlignment="1">
      <alignment horizontal="right" indent="1"/>
    </xf>
    <xf numFmtId="167" fontId="47" fillId="0" borderId="0" xfId="0" applyNumberFormat="1" applyFont="1"/>
    <xf numFmtId="169" fontId="55" fillId="0" borderId="0" xfId="1" applyNumberFormat="1" applyFont="1" applyFill="1" applyBorder="1" applyAlignment="1">
      <alignment horizontal="right" indent="1"/>
    </xf>
    <xf numFmtId="0" fontId="59" fillId="0" borderId="0" xfId="0" applyFont="1"/>
    <xf numFmtId="169" fontId="47" fillId="0" borderId="0" xfId="1" applyNumberFormat="1" applyFont="1" applyFill="1" applyAlignment="1">
      <alignment horizontal="right" indent="1"/>
    </xf>
    <xf numFmtId="17" fontId="47" fillId="0" borderId="0" xfId="0" applyNumberFormat="1" applyFont="1" applyAlignment="1">
      <alignment horizontal="left"/>
    </xf>
    <xf numFmtId="172" fontId="47" fillId="0" borderId="0" xfId="12" applyNumberFormat="1" applyFont="1" applyFill="1" applyBorder="1"/>
    <xf numFmtId="3" fontId="47" fillId="0" borderId="3" xfId="1" applyNumberFormat="1" applyFont="1" applyFill="1" applyBorder="1" applyAlignment="1">
      <alignment horizontal="right" indent="1"/>
    </xf>
    <xf numFmtId="164" fontId="55" fillId="0" borderId="0" xfId="1" applyNumberFormat="1" applyFont="1"/>
    <xf numFmtId="169" fontId="47" fillId="2" borderId="0" xfId="1" applyNumberFormat="1" applyFont="1" applyFill="1" applyBorder="1" applyAlignment="1">
      <alignment horizontal="right" indent="2"/>
    </xf>
    <xf numFmtId="169" fontId="47" fillId="2" borderId="0" xfId="1" applyNumberFormat="1" applyFont="1" applyFill="1" applyBorder="1" applyAlignment="1">
      <alignment horizontal="right" indent="1"/>
    </xf>
    <xf numFmtId="169" fontId="60" fillId="0" borderId="0" xfId="1" applyNumberFormat="1" applyFont="1" applyFill="1" applyBorder="1" applyAlignment="1">
      <alignment horizontal="right"/>
    </xf>
    <xf numFmtId="0" fontId="53" fillId="0" borderId="7" xfId="0" applyFont="1" applyBorder="1" applyAlignment="1">
      <alignment wrapText="1"/>
    </xf>
    <xf numFmtId="41" fontId="57" fillId="0" borderId="0" xfId="33" applyNumberFormat="1" applyFont="1" applyFill="1"/>
    <xf numFmtId="167" fontId="47" fillId="0" borderId="0" xfId="0" applyNumberFormat="1" applyFont="1" applyAlignment="1">
      <alignment horizontal="center"/>
    </xf>
    <xf numFmtId="165" fontId="47" fillId="0" borderId="0" xfId="1" applyNumberFormat="1" applyFont="1" applyFill="1" applyAlignment="1">
      <alignment horizontal="left"/>
    </xf>
    <xf numFmtId="165" fontId="47" fillId="0" borderId="0" xfId="1" applyNumberFormat="1" applyFont="1" applyFill="1" applyAlignment="1">
      <alignment horizontal="center"/>
    </xf>
    <xf numFmtId="169" fontId="55" fillId="0" borderId="0" xfId="1" applyNumberFormat="1" applyFont="1" applyFill="1" applyBorder="1" applyAlignment="1">
      <alignment horizontal="right"/>
    </xf>
    <xf numFmtId="37" fontId="47" fillId="0" borderId="0" xfId="1" applyNumberFormat="1" applyFont="1" applyFill="1" applyBorder="1" applyAlignment="1">
      <alignment horizontal="right" indent="2"/>
    </xf>
    <xf numFmtId="37" fontId="47" fillId="0" borderId="0" xfId="1" applyNumberFormat="1" applyFont="1" applyFill="1" applyBorder="1" applyAlignment="1">
      <alignment horizontal="right" indent="1"/>
    </xf>
    <xf numFmtId="37" fontId="47" fillId="0" borderId="0" xfId="0" applyNumberFormat="1" applyFont="1"/>
    <xf numFmtId="37" fontId="47" fillId="0" borderId="0" xfId="1" applyNumberFormat="1" applyFont="1" applyFill="1" applyAlignment="1">
      <alignment horizontal="center"/>
    </xf>
    <xf numFmtId="174" fontId="47" fillId="0" borderId="0" xfId="1" applyNumberFormat="1" applyFont="1" applyFill="1" applyBorder="1" applyAlignment="1">
      <alignment horizontal="right" indent="2"/>
    </xf>
    <xf numFmtId="1" fontId="47" fillId="0" borderId="0" xfId="0" applyNumberFormat="1" applyFont="1" applyAlignment="1">
      <alignment horizontal="center"/>
    </xf>
    <xf numFmtId="37" fontId="0" fillId="0" borderId="0" xfId="0" applyNumberFormat="1"/>
    <xf numFmtId="43" fontId="47" fillId="0" borderId="3" xfId="0" applyNumberFormat="1" applyFont="1" applyBorder="1"/>
    <xf numFmtId="0" fontId="0" fillId="0" borderId="3" xfId="0" applyBorder="1"/>
    <xf numFmtId="168" fontId="47" fillId="0" borderId="3" xfId="0" applyNumberFormat="1" applyFont="1" applyBorder="1"/>
    <xf numFmtId="164" fontId="55" fillId="0" borderId="0" xfId="1" applyNumberFormat="1" applyFont="1" applyAlignment="1">
      <alignment horizontal="right"/>
    </xf>
    <xf numFmtId="0" fontId="61" fillId="0" borderId="1" xfId="75" applyFont="1" applyBorder="1"/>
    <xf numFmtId="165" fontId="61" fillId="0" borderId="1" xfId="1" applyNumberFormat="1" applyFont="1" applyBorder="1"/>
    <xf numFmtId="0" fontId="55" fillId="0" borderId="0" xfId="75" applyFont="1"/>
    <xf numFmtId="165" fontId="55" fillId="0" borderId="0" xfId="1" applyNumberFormat="1" applyFont="1"/>
    <xf numFmtId="165" fontId="55" fillId="0" borderId="0" xfId="1" applyNumberFormat="1" applyFont="1" applyFill="1"/>
    <xf numFmtId="165" fontId="38" fillId="0" borderId="0" xfId="74" applyNumberFormat="1" applyFont="1"/>
    <xf numFmtId="0" fontId="57" fillId="0" borderId="0" xfId="75" applyFont="1"/>
    <xf numFmtId="1" fontId="57" fillId="0" borderId="0" xfId="75" applyNumberFormat="1" applyFont="1"/>
    <xf numFmtId="2" fontId="57" fillId="0" borderId="0" xfId="75" applyNumberFormat="1" applyFont="1"/>
    <xf numFmtId="167" fontId="57" fillId="0" borderId="0" xfId="75" applyNumberFormat="1" applyFont="1"/>
    <xf numFmtId="14" fontId="57" fillId="0" borderId="0" xfId="75" applyNumberFormat="1" applyFont="1"/>
    <xf numFmtId="164" fontId="47" fillId="0" borderId="0" xfId="1" applyNumberFormat="1" applyFont="1" applyFill="1" applyBorder="1" applyAlignment="1">
      <alignment horizontal="right" indent="1"/>
    </xf>
    <xf numFmtId="0" fontId="55" fillId="0" borderId="0" xfId="77" applyFont="1" applyAlignment="1">
      <alignment horizontal="center"/>
    </xf>
    <xf numFmtId="0" fontId="47" fillId="0" borderId="2" xfId="0" applyFont="1" applyBorder="1" applyAlignment="1">
      <alignment horizontal="center"/>
    </xf>
    <xf numFmtId="0" fontId="48" fillId="0" borderId="3" xfId="0" applyFont="1" applyBorder="1" applyAlignment="1">
      <alignment horizontal="center"/>
    </xf>
    <xf numFmtId="0" fontId="48" fillId="0" borderId="3" xfId="0" quotePrefix="1" applyFont="1" applyBorder="1" applyAlignment="1">
      <alignment horizontal="center"/>
    </xf>
    <xf numFmtId="1" fontId="55" fillId="0" borderId="0" xfId="75" applyNumberFormat="1" applyFont="1"/>
    <xf numFmtId="3" fontId="62" fillId="0" borderId="0" xfId="0" applyNumberFormat="1" applyFont="1"/>
    <xf numFmtId="0" fontId="58" fillId="0" borderId="1" xfId="78" applyFont="1" applyBorder="1" applyAlignment="1">
      <alignment horizontal="center" wrapText="1"/>
    </xf>
    <xf numFmtId="0" fontId="57" fillId="0" borderId="0" xfId="78" applyFont="1"/>
    <xf numFmtId="0" fontId="57" fillId="0" borderId="0" xfId="78" applyFont="1" applyAlignment="1">
      <alignment horizontal="center"/>
    </xf>
    <xf numFmtId="178" fontId="57" fillId="0" borderId="0" xfId="33" applyNumberFormat="1" applyFont="1" applyFill="1"/>
    <xf numFmtId="178" fontId="57" fillId="0" borderId="0" xfId="78" applyNumberFormat="1" applyFont="1"/>
    <xf numFmtId="178" fontId="63" fillId="0" borderId="0" xfId="1" applyNumberFormat="1" applyFont="1" applyFill="1"/>
    <xf numFmtId="178" fontId="57" fillId="0" borderId="0" xfId="33" applyNumberFormat="1" applyFont="1" applyFill="1" applyAlignment="1">
      <alignment horizontal="center"/>
    </xf>
    <xf numFmtId="41" fontId="57" fillId="0" borderId="0" xfId="33" applyNumberFormat="1" applyFont="1" applyFill="1" applyAlignment="1">
      <alignment horizontal="center"/>
    </xf>
    <xf numFmtId="43" fontId="57" fillId="0" borderId="0" xfId="78" applyNumberFormat="1" applyFont="1"/>
    <xf numFmtId="164" fontId="57" fillId="0" borderId="0" xfId="78" applyNumberFormat="1" applyFont="1"/>
    <xf numFmtId="17" fontId="47" fillId="0" borderId="0" xfId="0" applyNumberFormat="1" applyFont="1" applyAlignment="1">
      <alignment vertical="center"/>
    </xf>
    <xf numFmtId="0" fontId="47" fillId="0" borderId="0" xfId="0" applyFont="1" applyAlignment="1">
      <alignment horizontal="right" vertical="center"/>
    </xf>
    <xf numFmtId="165" fontId="47" fillId="0" borderId="0" xfId="0" applyNumberFormat="1" applyFont="1"/>
    <xf numFmtId="165" fontId="0" fillId="0" borderId="0" xfId="0" applyNumberFormat="1"/>
    <xf numFmtId="165" fontId="55" fillId="0" borderId="0" xfId="1" applyNumberFormat="1" applyFont="1" applyFill="1" applyAlignment="1">
      <alignment horizontal="center"/>
    </xf>
    <xf numFmtId="3" fontId="0" fillId="0" borderId="0" xfId="0" applyNumberFormat="1"/>
    <xf numFmtId="172" fontId="0" fillId="0" borderId="0" xfId="12" applyNumberFormat="1" applyFont="1" applyFill="1"/>
    <xf numFmtId="10" fontId="0" fillId="0" borderId="0" xfId="12" applyNumberFormat="1" applyFont="1" applyFill="1"/>
    <xf numFmtId="37" fontId="47" fillId="0" borderId="1" xfId="1" applyNumberFormat="1" applyFont="1" applyFill="1" applyBorder="1" applyAlignment="1">
      <alignment horizontal="center"/>
    </xf>
    <xf numFmtId="37" fontId="47" fillId="0" borderId="1" xfId="1" applyNumberFormat="1" applyFont="1" applyFill="1" applyBorder="1" applyAlignment="1">
      <alignment horizontal="right" indent="2"/>
    </xf>
    <xf numFmtId="165" fontId="47" fillId="0" borderId="1" xfId="1" applyNumberFormat="1" applyFont="1" applyFill="1" applyBorder="1"/>
    <xf numFmtId="37" fontId="47" fillId="0" borderId="1" xfId="1" applyNumberFormat="1" applyFont="1" applyFill="1" applyBorder="1" applyAlignment="1">
      <alignment horizontal="right" indent="1"/>
    </xf>
    <xf numFmtId="1" fontId="47" fillId="0" borderId="1" xfId="0" applyNumberFormat="1" applyFont="1" applyBorder="1" applyAlignment="1">
      <alignment horizontal="center"/>
    </xf>
    <xf numFmtId="164" fontId="47" fillId="0" borderId="0" xfId="0" applyNumberFormat="1" applyFont="1"/>
    <xf numFmtId="1" fontId="47" fillId="0" borderId="0" xfId="0" applyNumberFormat="1" applyFont="1"/>
    <xf numFmtId="0" fontId="64" fillId="0" borderId="0" xfId="79"/>
    <xf numFmtId="1" fontId="0" fillId="0" borderId="0" xfId="0" applyNumberFormat="1"/>
    <xf numFmtId="0" fontId="53" fillId="0" borderId="7" xfId="0" applyFont="1" applyBorder="1"/>
    <xf numFmtId="179" fontId="57" fillId="0" borderId="0" xfId="78" applyNumberFormat="1" applyFont="1"/>
    <xf numFmtId="180" fontId="57" fillId="0" borderId="0" xfId="78" applyNumberFormat="1" applyFont="1"/>
    <xf numFmtId="0" fontId="47" fillId="0" borderId="2" xfId="0" applyFont="1" applyBorder="1" applyAlignment="1">
      <alignment horizontal="center"/>
    </xf>
    <xf numFmtId="0" fontId="48" fillId="0" borderId="3" xfId="0" applyFont="1" applyBorder="1" applyAlignment="1">
      <alignment horizontal="center"/>
    </xf>
    <xf numFmtId="0" fontId="48" fillId="0" borderId="2" xfId="0" quotePrefix="1" applyFont="1" applyBorder="1" applyAlignment="1">
      <alignment horizontal="center"/>
    </xf>
    <xf numFmtId="0" fontId="48" fillId="0" borderId="3" xfId="0" quotePrefix="1" applyFont="1" applyBorder="1" applyAlignment="1">
      <alignment horizontal="center"/>
    </xf>
    <xf numFmtId="0" fontId="48" fillId="0" borderId="2" xfId="0" applyFont="1" applyBorder="1" applyAlignment="1">
      <alignment horizontal="center"/>
    </xf>
    <xf numFmtId="0" fontId="48" fillId="0" borderId="5" xfId="0" quotePrefix="1" applyFont="1" applyBorder="1" applyAlignment="1">
      <alignment horizontal="center"/>
    </xf>
    <xf numFmtId="0" fontId="48" fillId="0" borderId="6" xfId="0" applyFont="1" applyBorder="1" applyAlignment="1">
      <alignment horizontal="center"/>
    </xf>
    <xf numFmtId="0" fontId="48" fillId="0" borderId="5" xfId="0" applyFont="1" applyBorder="1" applyAlignment="1">
      <alignment horizontal="center"/>
    </xf>
  </cellXfs>
  <cellStyles count="80">
    <cellStyle name="Comma" xfId="1" builtinId="3"/>
    <cellStyle name="Comma 19" xfId="38" xr:uid="{DDCE393F-1348-4189-A747-6A37252868C8}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4 2" xfId="59" xr:uid="{1962B490-9A00-4E27-9643-2FC54AC437E3}"/>
    <cellStyle name="Comma 5" xfId="28" xr:uid="{70FA35DD-5A4C-4F46-9C0F-4EF98207937B}"/>
    <cellStyle name="Comma 5 2" xfId="31" xr:uid="{1A54A7D5-5C84-48D6-943B-F788A3F8D756}"/>
    <cellStyle name="Comma 5 2 2" xfId="64" xr:uid="{52820DF5-9A1A-4F65-811C-12E350C4A452}"/>
    <cellStyle name="Comma 5 2 3" xfId="70" xr:uid="{17847922-091E-4DA5-900B-99E8548E890C}"/>
    <cellStyle name="Comma 5 3" xfId="61" xr:uid="{66B0EFF1-9B5C-4010-8FFD-B7EBF2B47072}"/>
    <cellStyle name="Comma 6" xfId="74" xr:uid="{5AE75EFE-983D-4415-ABF1-C4602BF3FD8A}"/>
    <cellStyle name="Currency 2" xfId="33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0 2" xfId="60" xr:uid="{E126FF74-8F35-46C0-B499-BB9FB7C0492D}"/>
    <cellStyle name="Normal 11" xfId="29" xr:uid="{4B9E3B86-F018-48E8-A1B7-B09DE503DA20}"/>
    <cellStyle name="Normal 11 10" xfId="48" xr:uid="{B0B7CAAA-7091-450F-85C9-52BED8D28969}"/>
    <cellStyle name="Normal 11 10 2" xfId="68" xr:uid="{9A95CB22-B964-41F2-92CA-C3C560A238E3}"/>
    <cellStyle name="Normal 11 11" xfId="62" xr:uid="{E3FE90C6-7CCC-48DA-835F-769A18F811F8}"/>
    <cellStyle name="Normal 11 12" xfId="66" xr:uid="{24A271D4-02AB-41AD-A39D-32AAEBED943C}"/>
    <cellStyle name="Normal 11 13" xfId="72" xr:uid="{D8E7C54E-9648-4EBA-A6E5-9F8B28FE758E}"/>
    <cellStyle name="Normal 11 14" xfId="77" xr:uid="{FBCA5CF9-91AF-4274-8B94-2F05ECCBC4AB}"/>
    <cellStyle name="Normal 11 15" xfId="78" xr:uid="{F199BEED-3A97-42C5-BE5E-3CAE11A245B2}"/>
    <cellStyle name="Normal 11 2" xfId="30" xr:uid="{75FDC25E-C28E-497B-82EF-A28CA2584098}"/>
    <cellStyle name="Normal 11 2 2" xfId="40" xr:uid="{AF392839-9EFD-46E7-9522-B670F46A3E86}"/>
    <cellStyle name="Normal 11 2 3" xfId="63" xr:uid="{862C7908-EC11-44E3-B785-2E62204B1971}"/>
    <cellStyle name="Normal 11 2 4" xfId="69" xr:uid="{700D960B-D0C4-4589-82DE-BB9482D721FE}"/>
    <cellStyle name="Normal 11 2 4 2" xfId="71" xr:uid="{A6A8C7A5-2C7B-4223-AE63-040A272724A0}"/>
    <cellStyle name="Normal 11 3" xfId="32" xr:uid="{5440E113-77DF-4DAD-9026-4858CCB03DB9}"/>
    <cellStyle name="Normal 11 3 2" xfId="43" xr:uid="{8321DB1C-E877-443D-8A22-A2E591665B83}"/>
    <cellStyle name="Normal 11 3 2 2" xfId="76" xr:uid="{0E6AB9D7-72A7-4FF5-A7F1-271F29BBDBD3}"/>
    <cellStyle name="Normal 11 3 3" xfId="65" xr:uid="{4E905B9F-EF70-4EAF-9DFC-D3D7C0096B62}"/>
    <cellStyle name="Normal 11 4" xfId="34" xr:uid="{A40234E1-3048-4174-AD15-1523030C134E}"/>
    <cellStyle name="Normal 11 5" xfId="35" xr:uid="{4DBA6093-DBC1-4A4A-9E14-A119E11ED16A}"/>
    <cellStyle name="Normal 11 6" xfId="36" xr:uid="{D17AAFBD-A258-4936-AA31-95286968AA67}"/>
    <cellStyle name="Normal 11 6 2" xfId="42" xr:uid="{9DF0F002-C7F7-42C9-919A-21BCFA675B2A}"/>
    <cellStyle name="Normal 11 6 2 2" xfId="49" xr:uid="{3BCF6672-671D-4690-A776-FA31F543923C}"/>
    <cellStyle name="Normal 11 6 3" xfId="44" xr:uid="{8D99E9BD-AF94-4306-8B61-749EAEFE8FD0}"/>
    <cellStyle name="Normal 11 6 3 2" xfId="47" xr:uid="{E9C554E9-6250-424B-9089-AB0F2F62FF9F}"/>
    <cellStyle name="Normal 11 6 3 2 2" xfId="50" xr:uid="{EE3659D5-A709-4860-9D3D-5E6D362E2A99}"/>
    <cellStyle name="Normal 11 6 3 2 3" xfId="51" xr:uid="{025CF3BB-6F64-4E4B-ADF3-415CE346BA0F}"/>
    <cellStyle name="Normal 11 6 3 2 4" xfId="67" xr:uid="{9D78D10E-E269-408B-B6A3-E1A70287BFD8}"/>
    <cellStyle name="Normal 11 6 4" xfId="46" xr:uid="{8BEB9B88-2ECA-4F90-BDBA-C56B823B5754}"/>
    <cellStyle name="Normal 11 6 5" xfId="73" xr:uid="{5081E91F-DB7D-4380-8B4D-4A87175D4BD0}"/>
    <cellStyle name="Normal 11 7" xfId="37" xr:uid="{6CE0624E-52F1-420A-B337-3C1B5BC972EB}"/>
    <cellStyle name="Normal 11 7 2" xfId="45" xr:uid="{6B567826-B84C-483F-A470-3B25A829C090}"/>
    <cellStyle name="Normal 11 8" xfId="39" xr:uid="{0BF66E25-9592-468E-9940-DD1B664A8C87}"/>
    <cellStyle name="Normal 11 9" xfId="41" xr:uid="{76238D42-3A4F-48DE-9A10-ACA406295500}"/>
    <cellStyle name="Normal 12" xfId="75" xr:uid="{35957245-A0B2-4B95-BCE2-DFC85ECCD621}"/>
    <cellStyle name="Normal 13" xfId="79" xr:uid="{9E2AFF03-0374-4DAB-9B4E-F3E30AAD9A78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5 2 2" xfId="55" xr:uid="{6901B104-248D-416D-85BF-60E7D7CCEE23}"/>
    <cellStyle name="Normal 5 3" xfId="52" xr:uid="{61D29457-DAC5-44A6-B4DB-3F6E4FD534E7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2 2 2" xfId="57" xr:uid="{60A7680C-AE12-46D5-BD48-348BB207A242}"/>
    <cellStyle name="Normal 8 2 3" xfId="54" xr:uid="{111A3AB0-B470-4C6E-9913-EE396C483F4D}"/>
    <cellStyle name="Normal 8 3" xfId="23" xr:uid="{A94EEB1A-B27E-4B51-9834-B757898F882E}"/>
    <cellStyle name="Normal 8 3 2" xfId="56" xr:uid="{456F379F-7F49-43B2-8FF0-6AAF56B0FC27}"/>
    <cellStyle name="Normal 8 4" xfId="53" xr:uid="{81805300-0E1D-454A-9D60-0F01D6190D6C}"/>
    <cellStyle name="Normal 9" xfId="25" xr:uid="{AF562AB2-2E7D-4C04-814F-6AC30A92CE3A}"/>
    <cellStyle name="Normal 9 2" xfId="58" xr:uid="{9E080DFC-9773-4552-A43C-01793D50B659}"/>
    <cellStyle name="Percent" xfId="12" builtinId="5"/>
  </cellStyles>
  <dxfs count="0"/>
  <tableStyles count="0" defaultTableStyle="TableStyleMedium9" defaultPivotStyle="PivotStyleLight16"/>
  <colors>
    <mruColors>
      <color rgb="FFFFFF00"/>
      <color rgb="FFFF9933"/>
      <color rgb="FFFFFF99"/>
      <color rgb="FF0000FF"/>
      <color rgb="FFFFCC66"/>
      <color rgb="FFFA6400"/>
      <color rgb="FF00B050"/>
      <color rgb="FFC0502F"/>
      <color rgb="FFFFCF01"/>
      <color rgb="FF9848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1</a:t>
            </a:r>
          </a:p>
          <a:p>
            <a:pPr algn="l">
              <a:defRPr sz="1050" b="1"/>
            </a:pPr>
            <a:endParaRPr lang="en-US" sz="100" b="0" i="0" baseline="0">
              <a:effectLst/>
            </a:endParaRPr>
          </a:p>
          <a:p>
            <a:pPr algn="l">
              <a:defRPr sz="1050" b="1"/>
            </a:pPr>
            <a:r>
              <a:rPr lang="en-US" sz="1050" b="1" i="0" baseline="0">
                <a:effectLst/>
              </a:rPr>
              <a:t>Global soybean stocks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3.5498793668562022E-3"/>
          <c:y val="6.2894033000461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7312022564421"/>
          <c:y val="0.19605913547656637"/>
          <c:w val="0.87435715618094023"/>
          <c:h val="0.5555417061073404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1'!$B$1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1'!$A$2:$A$11</c:f>
              <c:strCache>
                <c:ptCount val="10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 (Feb)</c:v>
                </c:pt>
                <c:pt idx="9">
                  <c:v>2023/24 (Mar)</c:v>
                </c:pt>
              </c:strCache>
            </c:strRef>
          </c:cat>
          <c:val>
            <c:numRef>
              <c:f>'Figure 1'!$B$2:$B$11</c:f>
              <c:numCache>
                <c:formatCode>_(* #,##0.0_);_(* \(#,##0.0\);_(* "-"_);_(@_)</c:formatCode>
                <c:ptCount val="10"/>
                <c:pt idx="0">
                  <c:v>27.155999999999999</c:v>
                </c:pt>
                <c:pt idx="1">
                  <c:v>26.995999999999999</c:v>
                </c:pt>
                <c:pt idx="2">
                  <c:v>23.734000000000002</c:v>
                </c:pt>
                <c:pt idx="3">
                  <c:v>28.89</c:v>
                </c:pt>
                <c:pt idx="4">
                  <c:v>26.65</c:v>
                </c:pt>
                <c:pt idx="5">
                  <c:v>25.06</c:v>
                </c:pt>
                <c:pt idx="6">
                  <c:v>23.902999999999999</c:v>
                </c:pt>
                <c:pt idx="7">
                  <c:v>17.209</c:v>
                </c:pt>
                <c:pt idx="8">
                  <c:v>25.959</c:v>
                </c:pt>
                <c:pt idx="9">
                  <c:v>25.959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E-4468-B593-F022CD76AFBC}"/>
            </c:ext>
          </c:extLst>
        </c:ser>
        <c:ser>
          <c:idx val="1"/>
          <c:order val="1"/>
          <c:tx>
            <c:strRef>
              <c:f>'Figure 1'!$C$1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D99694"/>
            </a:solidFill>
            <a:ln>
              <a:noFill/>
            </a:ln>
            <a:effectLst/>
          </c:spPr>
          <c:invertIfNegative val="0"/>
          <c:cat>
            <c:strRef>
              <c:f>'Figure 1'!$A$2:$A$11</c:f>
              <c:strCache>
                <c:ptCount val="10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 (Feb)</c:v>
                </c:pt>
                <c:pt idx="9">
                  <c:v>2023/24 (Mar)</c:v>
                </c:pt>
              </c:strCache>
            </c:strRef>
          </c:cat>
          <c:val>
            <c:numRef>
              <c:f>'Figure 1'!$C$2:$C$11</c:f>
              <c:numCache>
                <c:formatCode>_(* #,##0.0_);_(* \(#,##0.0\);_(* "-"_);_(@_)</c:formatCode>
                <c:ptCount val="10"/>
                <c:pt idx="0">
                  <c:v>23.803000000000001</c:v>
                </c:pt>
                <c:pt idx="1">
                  <c:v>32.631999999999998</c:v>
                </c:pt>
                <c:pt idx="2">
                  <c:v>33.030999999999999</c:v>
                </c:pt>
                <c:pt idx="3">
                  <c:v>33.341999999999999</c:v>
                </c:pt>
                <c:pt idx="4">
                  <c:v>20.419</c:v>
                </c:pt>
                <c:pt idx="5">
                  <c:v>29.579000000000001</c:v>
                </c:pt>
                <c:pt idx="6">
                  <c:v>27.597999999999999</c:v>
                </c:pt>
                <c:pt idx="7">
                  <c:v>37.350999999999999</c:v>
                </c:pt>
                <c:pt idx="8">
                  <c:v>36.301000000000002</c:v>
                </c:pt>
                <c:pt idx="9">
                  <c:v>33.051000000000002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9E-4468-B593-F022CD76AFBC}"/>
            </c:ext>
          </c:extLst>
        </c:ser>
        <c:ser>
          <c:idx val="0"/>
          <c:order val="2"/>
          <c:tx>
            <c:strRef>
              <c:f>'Figure 1'!$D$1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'Figure 1'!$A$2:$A$11</c:f>
              <c:strCache>
                <c:ptCount val="10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 (Feb)</c:v>
                </c:pt>
                <c:pt idx="9">
                  <c:v>2023/24 (Mar)</c:v>
                </c:pt>
              </c:strCache>
            </c:strRef>
          </c:cat>
          <c:val>
            <c:numRef>
              <c:f>'Figure 1'!$D$2:$D$11</c:f>
              <c:numCache>
                <c:formatCode>_(* #,##0.0_);_(* \(#,##0.0\);_(* "-"_);_(@_)</c:formatCode>
                <c:ptCount val="10"/>
                <c:pt idx="0">
                  <c:v>16.643000000000001</c:v>
                </c:pt>
                <c:pt idx="1">
                  <c:v>20.12</c:v>
                </c:pt>
                <c:pt idx="2">
                  <c:v>22.562000000000001</c:v>
                </c:pt>
                <c:pt idx="3">
                  <c:v>18.350000000000001</c:v>
                </c:pt>
                <c:pt idx="4">
                  <c:v>24.484000000000002</c:v>
                </c:pt>
                <c:pt idx="5">
                  <c:v>28.856000000000002</c:v>
                </c:pt>
                <c:pt idx="6">
                  <c:v>25.146000000000001</c:v>
                </c:pt>
                <c:pt idx="7" formatCode="_(* #,##0.0_);_(* \(#,##0.0\);_(* &quot;-&quot;??_);_(@_)">
                  <c:v>32.340000000000003</c:v>
                </c:pt>
                <c:pt idx="8" formatCode="_(* #,##0.0_);_(* \(#,##0.0\);_(* &quot;-&quot;??_);_(@_)">
                  <c:v>36.03</c:v>
                </c:pt>
                <c:pt idx="9" formatCode="_(* #,##0.0_);_(* \(#,##0.0\);_(* &quot;-&quot;??_);_(@_)">
                  <c:v>37.58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9E-4468-B593-F022CD76AFBC}"/>
            </c:ext>
          </c:extLst>
        </c:ser>
        <c:ser>
          <c:idx val="4"/>
          <c:order val="3"/>
          <c:tx>
            <c:strRef>
              <c:f>'Figure 1'!$E$1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'Figure 1'!$A$2:$A$11</c:f>
              <c:strCache>
                <c:ptCount val="10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 (Feb)</c:v>
                </c:pt>
                <c:pt idx="9">
                  <c:v>2023/24 (Mar)</c:v>
                </c:pt>
              </c:strCache>
            </c:strRef>
          </c:cat>
          <c:val>
            <c:numRef>
              <c:f>'Figure 1'!$E$2:$E$11</c:f>
              <c:numCache>
                <c:formatCode>_(* #,##0.0_);_(* \(#,##0.0\);_(* "-"_);_(@_)</c:formatCode>
                <c:ptCount val="10"/>
                <c:pt idx="0">
                  <c:v>5.3540000000000001</c:v>
                </c:pt>
                <c:pt idx="1">
                  <c:v>8.2080000000000002</c:v>
                </c:pt>
                <c:pt idx="2">
                  <c:v>11.923</c:v>
                </c:pt>
                <c:pt idx="3">
                  <c:v>25.175999999999998</c:v>
                </c:pt>
                <c:pt idx="4">
                  <c:v>14.657</c:v>
                </c:pt>
                <c:pt idx="5">
                  <c:v>6.9939999999999998</c:v>
                </c:pt>
                <c:pt idx="6">
                  <c:v>7.468</c:v>
                </c:pt>
                <c:pt idx="7" formatCode="_(* #,##0.0_);_(* \(#,##0.0\);_(* &quot;-&quot;??_);_(@_)">
                  <c:v>7.19</c:v>
                </c:pt>
                <c:pt idx="8" formatCode="_(* #,##0.0_);_(* \(#,##0.0\);_(* &quot;-&quot;??_);_(@_)">
                  <c:v>8.5709999999999997</c:v>
                </c:pt>
                <c:pt idx="9" formatCode="_(* #,##0.0_);_(* \(#,##0.0\);_(* &quot;-&quot;??_);_(@_)">
                  <c:v>8.5709999999999997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9E-4468-B593-F022CD76AFBC}"/>
            </c:ext>
          </c:extLst>
        </c:ser>
        <c:ser>
          <c:idx val="3"/>
          <c:order val="4"/>
          <c:tx>
            <c:strRef>
              <c:f>'Figure 1'!$F$1</c:f>
              <c:strCache>
                <c:ptCount val="1"/>
                <c:pt idx="0">
                  <c:v>Rest of world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'Figure 1'!$F$2:$F$11</c:f>
              <c:numCache>
                <c:formatCode>_(* #,##0.00_);_(* \(#,##0.00\);_(* "-"??_);_(@_)</c:formatCode>
                <c:ptCount val="10"/>
                <c:pt idx="0">
                  <c:v>6.5939999999999941</c:v>
                </c:pt>
                <c:pt idx="1">
                  <c:v>7.7469999999999999</c:v>
                </c:pt>
                <c:pt idx="2">
                  <c:v>8.7450000000000045</c:v>
                </c:pt>
                <c:pt idx="3">
                  <c:v>8.8629999999999995</c:v>
                </c:pt>
                <c:pt idx="4">
                  <c:v>9.3180000000000121</c:v>
                </c:pt>
                <c:pt idx="5">
                  <c:v>7.777000000000001</c:v>
                </c:pt>
                <c:pt idx="6">
                  <c:v>9.811000000000007</c:v>
                </c:pt>
                <c:pt idx="7">
                  <c:v>8.0589999999999975</c:v>
                </c:pt>
                <c:pt idx="8">
                  <c:v>9.164999999999992</c:v>
                </c:pt>
                <c:pt idx="9">
                  <c:v>9.1069999999999993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9E-4468-B593-F022CD76A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946232671633997"/>
              <c:y val="0.82571622371722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  <c:max val="12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metric tons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2515716711729012E-2"/>
              <c:y val="0.111363682019143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solidFill>
            <a:sysClr val="window" lastClr="FFFFFF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923486090060338"/>
          <c:y val="0.12636223785452472"/>
          <c:w val="0.7224611699366188"/>
          <c:h val="4.90251911244022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2</a:t>
            </a:r>
          </a:p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>
                <a:effectLst/>
              </a:rPr>
              <a:t>U.S. soybean</a:t>
            </a:r>
            <a:r>
              <a:rPr lang="en-US" sz="1050" baseline="0">
                <a:effectLst/>
              </a:rPr>
              <a:t> meal exports and prices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1.5216937083625723E-3"/>
          <c:y val="1.242800811036061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821852786955364E-2"/>
          <c:y val="0.19264295754499883"/>
          <c:w val="0.83276103705604276"/>
          <c:h val="0.5447886651154906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2'!$B$1</c:f>
              <c:strCache>
                <c:ptCount val="1"/>
                <c:pt idx="0">
                  <c:v> Oct.–Jan. exports </c:v>
                </c:pt>
              </c:strCache>
            </c:strRef>
          </c:tx>
          <c:invertIfNegative val="0"/>
          <c:cat>
            <c:strRef>
              <c:f>'Figure 2'!$A$2:$A$10</c:f>
              <c:strCache>
                <c:ptCount val="9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2023/24*</c:v>
                </c:pt>
              </c:strCache>
            </c:strRef>
          </c:cat>
          <c:val>
            <c:numRef>
              <c:f>'Figure 2'!$B$2:$B$10</c:f>
              <c:numCache>
                <c:formatCode>_(* #,##0_);_(* \(#,##0\);_(* "-"??_);_(@_)</c:formatCode>
                <c:ptCount val="9"/>
                <c:pt idx="0">
                  <c:v>4244.5903540781546</c:v>
                </c:pt>
                <c:pt idx="1">
                  <c:v>4192.245007131316</c:v>
                </c:pt>
                <c:pt idx="2">
                  <c:v>4253.6155279287796</c:v>
                </c:pt>
                <c:pt idx="3">
                  <c:v>4964.19295613753</c:v>
                </c:pt>
                <c:pt idx="4">
                  <c:v>4529.876788440979</c:v>
                </c:pt>
                <c:pt idx="5">
                  <c:v>5244.1501562410285</c:v>
                </c:pt>
                <c:pt idx="6">
                  <c:v>5040.1557638256427</c:v>
                </c:pt>
                <c:pt idx="7">
                  <c:v>4884.7510334927956</c:v>
                </c:pt>
                <c:pt idx="8">
                  <c:v>5894.5580318245602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5C-40DD-B01C-9ACE85FB6F8C}"/>
            </c:ext>
          </c:extLst>
        </c:ser>
        <c:ser>
          <c:idx val="3"/>
          <c:order val="1"/>
          <c:tx>
            <c:strRef>
              <c:f>'Figure 2'!$C$1</c:f>
              <c:strCache>
                <c:ptCount val="1"/>
                <c:pt idx="0">
                  <c:v> Remaining projection </c:v>
                </c:pt>
              </c:strCache>
            </c:strRef>
          </c:tx>
          <c:invertIfNegative val="0"/>
          <c:cat>
            <c:strRef>
              <c:f>'Figure 2'!$A$2:$A$10</c:f>
              <c:strCache>
                <c:ptCount val="9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2023/24*</c:v>
                </c:pt>
              </c:strCache>
            </c:strRef>
          </c:cat>
          <c:val>
            <c:numRef>
              <c:f>'Figure 2'!$C$2:$C$10</c:f>
              <c:numCache>
                <c:formatCode>#,##0</c:formatCode>
                <c:ptCount val="9"/>
                <c:pt idx="0">
                  <c:v>7707.9182285805946</c:v>
                </c:pt>
                <c:pt idx="1">
                  <c:v>7387.5862312012032</c:v>
                </c:pt>
                <c:pt idx="2">
                  <c:v>9764.8808472806759</c:v>
                </c:pt>
                <c:pt idx="3">
                  <c:v>8418.5627875481259</c:v>
                </c:pt>
                <c:pt idx="4">
                  <c:v>9303.2347445819032</c:v>
                </c:pt>
                <c:pt idx="5">
                  <c:v>8431.2142349152564</c:v>
                </c:pt>
                <c:pt idx="6">
                  <c:v>8499.9721154189465</c:v>
                </c:pt>
                <c:pt idx="7">
                  <c:v>9778.7571829754834</c:v>
                </c:pt>
                <c:pt idx="8">
                  <c:v>9905.4419681754407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5C-40DD-B01C-9ACE85FB6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lineChart>
        <c:grouping val="standard"/>
        <c:varyColors val="0"/>
        <c:ser>
          <c:idx val="4"/>
          <c:order val="2"/>
          <c:tx>
            <c:strRef>
              <c:f>'Figure 2'!$E$1</c:f>
              <c:strCache>
                <c:ptCount val="1"/>
                <c:pt idx="0">
                  <c:v> Meal price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'Figure 2'!$A$2:$A$10</c:f>
              <c:strCache>
                <c:ptCount val="9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  <c:pt idx="8">
                  <c:v>2023/24*</c:v>
                </c:pt>
              </c:strCache>
            </c:strRef>
          </c:cat>
          <c:val>
            <c:numRef>
              <c:f>'Figure 2'!$E$2:$E$10</c:f>
              <c:numCache>
                <c:formatCode>_(* #,##0_);_(* \(#,##0\);_(* "-"??_);_(@_)</c:formatCode>
                <c:ptCount val="9"/>
                <c:pt idx="0">
                  <c:v>324.55916666666667</c:v>
                </c:pt>
                <c:pt idx="1">
                  <c:v>316.88416666666666</c:v>
                </c:pt>
                <c:pt idx="2">
                  <c:v>345.02250000000004</c:v>
                </c:pt>
                <c:pt idx="3">
                  <c:v>308.28249999999997</c:v>
                </c:pt>
                <c:pt idx="4">
                  <c:v>299.50083333333328</c:v>
                </c:pt>
                <c:pt idx="5">
                  <c:v>392.31</c:v>
                </c:pt>
                <c:pt idx="6">
                  <c:v>439.54958333333337</c:v>
                </c:pt>
                <c:pt idx="7">
                  <c:v>451.90875</c:v>
                </c:pt>
                <c:pt idx="8">
                  <c:v>380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75C-40DD-B01C-9ACE85FB6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072671"/>
        <c:axId val="1575778447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5021511150237731"/>
              <c:y val="0.85134020858012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0"/>
      </c:catAx>
      <c:valAx>
        <c:axId val="667170632"/>
        <c:scaling>
          <c:orientation val="minMax"/>
          <c:min val="2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Thousand short</a:t>
                </a:r>
                <a:r>
                  <a:rPr lang="en-US" sz="900" baseline="0"/>
                  <a:t> tons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8.1457751910734236E-3"/>
              <c:y val="0.103748635402875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valAx>
        <c:axId val="1575778447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900" b="0"/>
                  <a:t>Dollars per short ton</a:t>
                </a:r>
              </a:p>
            </c:rich>
          </c:tx>
          <c:layout>
            <c:manualLayout>
              <c:xMode val="edge"/>
              <c:yMode val="edge"/>
              <c:x val="0.88273601860661799"/>
              <c:y val="0.11985545645656849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788072671"/>
        <c:crosses val="max"/>
        <c:crossBetween val="between"/>
      </c:valAx>
      <c:catAx>
        <c:axId val="78807267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5778447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9395617888391925"/>
          <c:y val="8.842905300344564E-2"/>
          <c:w val="0.63078559368634446"/>
          <c:h val="4.70487538615195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3</a:t>
            </a:r>
            <a:endParaRPr lang="en-US" sz="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defRPr>
                <a:solidFill>
                  <a:sysClr val="windowText" lastClr="000000"/>
                </a:solidFill>
              </a:defRPr>
            </a:pPr>
            <a:r>
              <a:rPr lang="en-US" sz="105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Difference between China's official import statistics and shipments from major exporters</a:t>
            </a:r>
            <a:endParaRPr lang="en-US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138848651500325E-2"/>
          <c:y val="2.3943128002690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063909631174287E-2"/>
          <c:y val="0.2494549419860175"/>
          <c:w val="0.92023462434928072"/>
          <c:h val="0.537327116120794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3'!$B$2</c:f>
              <c:strCache>
                <c:ptCount val="1"/>
                <c:pt idx="0">
                  <c:v>Reported exports to China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3'!$A$3:$A$8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'Figure 3'!$D$3:$D$8</c:f>
              <c:numCache>
                <c:formatCode>General</c:formatCode>
                <c:ptCount val="6"/>
                <c:pt idx="0">
                  <c:v>0</c:v>
                </c:pt>
                <c:pt idx="1">
                  <c:v>-1</c:v>
                </c:pt>
                <c:pt idx="2">
                  <c:v>-3</c:v>
                </c:pt>
                <c:pt idx="3">
                  <c:v>3</c:v>
                </c:pt>
                <c:pt idx="4">
                  <c:v>-2</c:v>
                </c:pt>
                <c:pt idx="5">
                  <c:v>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EF-4043-B605-A47B2DA70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455439"/>
        <c:axId val="1284457935"/>
      </c:barChart>
      <c:catAx>
        <c:axId val="12844554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Calendar year</a:t>
                </a:r>
                <a:endParaRPr lang="en-US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3429634247895804"/>
              <c:y val="0.881782589056087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7935"/>
        <c:crosses val="autoZero"/>
        <c:auto val="1"/>
        <c:lblAlgn val="ctr"/>
        <c:lblOffset val="100"/>
        <c:noMultiLvlLbl val="0"/>
      </c:catAx>
      <c:valAx>
        <c:axId val="1284457935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Million metric tons</a:t>
                </a:r>
                <a:endParaRPr lang="en-US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1724501773879277E-2"/>
              <c:y val="0.149984301868503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54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4</a:t>
            </a:r>
          </a:p>
          <a:p>
            <a:pPr algn="l">
              <a:defRPr>
                <a:solidFill>
                  <a:sysClr val="windowText" lastClr="000000"/>
                </a:solidFill>
              </a:defRPr>
            </a:pPr>
            <a:endParaRPr lang="en-US" sz="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defRPr>
                <a:solidFill>
                  <a:sysClr val="windowText" lastClr="000000"/>
                </a:solidFill>
              </a:defRPr>
            </a:pPr>
            <a:r>
              <a:rPr lang="en-US" sz="105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Brazil's soybean monthly exports and price spread compared with the United States</a:t>
            </a:r>
            <a:endParaRPr lang="en-US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138848651500325E-2"/>
          <c:y val="2.3943128002690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89856054325638E-2"/>
          <c:y val="0.31381389576397278"/>
          <c:w val="0.86073052634292535"/>
          <c:h val="0.4056840482545676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4'!$B$1</c:f>
              <c:strCache>
                <c:ptCount val="1"/>
                <c:pt idx="0">
                  <c:v>2022/23 Exports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4'!$A$2:$A$13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'Figure 4'!$B$2:$B$13</c:f>
              <c:numCache>
                <c:formatCode>0</c:formatCode>
                <c:ptCount val="12"/>
                <c:pt idx="0">
                  <c:v>3.7982324219999999</c:v>
                </c:pt>
                <c:pt idx="1">
                  <c:v>2.5249117879999998</c:v>
                </c:pt>
                <c:pt idx="2">
                  <c:v>1.9359600910000001</c:v>
                </c:pt>
                <c:pt idx="3">
                  <c:v>0.83958874299999997</c:v>
                </c:pt>
                <c:pt idx="4">
                  <c:v>5.016935589</c:v>
                </c:pt>
                <c:pt idx="5">
                  <c:v>13.241396236</c:v>
                </c:pt>
                <c:pt idx="6">
                  <c:v>14.336464478</c:v>
                </c:pt>
                <c:pt idx="7">
                  <c:v>15.584238723</c:v>
                </c:pt>
                <c:pt idx="8">
                  <c:v>13.745336738000001</c:v>
                </c:pt>
                <c:pt idx="9">
                  <c:v>9.6959327460000004</c:v>
                </c:pt>
                <c:pt idx="10">
                  <c:v>8.3869512739999994</c:v>
                </c:pt>
                <c:pt idx="11">
                  <c:v>6.3980783130000001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5E-459D-A216-65C84993CA97}"/>
            </c:ext>
          </c:extLst>
        </c:ser>
        <c:ser>
          <c:idx val="0"/>
          <c:order val="1"/>
          <c:tx>
            <c:strRef>
              <c:f>'Figure 4'!$C$1</c:f>
              <c:strCache>
                <c:ptCount val="1"/>
                <c:pt idx="0">
                  <c:v>2023/24 Exports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4'!$A$2:$A$13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'Figure 4'!$C$2:$C$6</c:f>
              <c:numCache>
                <c:formatCode>0</c:formatCode>
                <c:ptCount val="5"/>
                <c:pt idx="0">
                  <c:v>5.6000552649999999</c:v>
                </c:pt>
                <c:pt idx="1">
                  <c:v>5.1961901819999996</c:v>
                </c:pt>
                <c:pt idx="2">
                  <c:v>3.8287221759999999</c:v>
                </c:pt>
                <c:pt idx="3">
                  <c:v>2.8548858319999999</c:v>
                </c:pt>
                <c:pt idx="4">
                  <c:v>6.6095478639999996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5E-459D-A216-65C84993C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455439"/>
        <c:axId val="1284457935"/>
      </c:barChart>
      <c:lineChart>
        <c:grouping val="standard"/>
        <c:varyColors val="0"/>
        <c:ser>
          <c:idx val="1"/>
          <c:order val="2"/>
          <c:tx>
            <c:strRef>
              <c:f>'Figure 4'!$D$1</c:f>
              <c:strCache>
                <c:ptCount val="1"/>
                <c:pt idx="0">
                  <c:v>2022/23 Price spread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'Figure 4'!$D$2:$D$13</c:f>
              <c:numCache>
                <c:formatCode>0</c:formatCode>
                <c:ptCount val="12"/>
                <c:pt idx="0">
                  <c:v>5.5099999999999909</c:v>
                </c:pt>
                <c:pt idx="1">
                  <c:v>4.2799999999999727</c:v>
                </c:pt>
                <c:pt idx="2">
                  <c:v>-12</c:v>
                </c:pt>
                <c:pt idx="3">
                  <c:v>-16.829999999999927</c:v>
                </c:pt>
                <c:pt idx="4">
                  <c:v>-34.760000000000105</c:v>
                </c:pt>
                <c:pt idx="5">
                  <c:v>-55.419999999999959</c:v>
                </c:pt>
                <c:pt idx="6">
                  <c:v>-90.920000000000016</c:v>
                </c:pt>
                <c:pt idx="7">
                  <c:v>-62.830000000000041</c:v>
                </c:pt>
                <c:pt idx="8">
                  <c:v>-67.230000000000018</c:v>
                </c:pt>
                <c:pt idx="9">
                  <c:v>-58.269999999999982</c:v>
                </c:pt>
                <c:pt idx="10">
                  <c:v>-20.419999999999959</c:v>
                </c:pt>
                <c:pt idx="11">
                  <c:v>-16.25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F3-41F6-BACA-F12A0813C585}"/>
            </c:ext>
          </c:extLst>
        </c:ser>
        <c:ser>
          <c:idx val="3"/>
          <c:order val="3"/>
          <c:tx>
            <c:strRef>
              <c:f>'Figure 4'!$E$1</c:f>
              <c:strCache>
                <c:ptCount val="1"/>
                <c:pt idx="0">
                  <c:v>2023/24 Price spread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val>
            <c:numRef>
              <c:f>'Figure 4'!$E$2:$E$13</c:f>
              <c:numCache>
                <c:formatCode>0</c:formatCode>
                <c:ptCount val="12"/>
                <c:pt idx="0">
                  <c:v>-18.449999999999989</c:v>
                </c:pt>
                <c:pt idx="1">
                  <c:v>-15.160000000000025</c:v>
                </c:pt>
                <c:pt idx="2">
                  <c:v>-11.449999999999989</c:v>
                </c:pt>
                <c:pt idx="3">
                  <c:v>-46.430000000000007</c:v>
                </c:pt>
                <c:pt idx="4">
                  <c:v>-57.720000000000027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F3-41F6-BACA-F12A0813C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1821920"/>
        <c:axId val="1193872287"/>
      </c:lineChart>
      <c:catAx>
        <c:axId val="12844554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Marketing</a:t>
                </a:r>
                <a:r>
                  <a:rPr lang="en-US" sz="900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year (MY)</a:t>
                </a:r>
                <a:endParaRPr lang="en-US" sz="9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6206493013091959"/>
              <c:y val="0.840826942007878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7935"/>
        <c:crosses val="autoZero"/>
        <c:auto val="1"/>
        <c:lblAlgn val="ctr"/>
        <c:lblOffset val="100"/>
        <c:noMultiLvlLbl val="0"/>
      </c:catAx>
      <c:valAx>
        <c:axId val="1284457935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Million metric tons</a:t>
                </a:r>
                <a:endParaRPr lang="en-US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7410390547631419E-3"/>
              <c:y val="0.228970228147663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5439"/>
        <c:crosses val="autoZero"/>
        <c:crossBetween val="between"/>
      </c:valAx>
      <c:valAx>
        <c:axId val="1193872287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 algn="r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Brazil-U.S. spread</a:t>
                </a:r>
              </a:p>
              <a:p>
                <a:pPr algn="r">
                  <a:defRPr/>
                </a:pPr>
                <a:r>
                  <a:rPr lang="en-US" sz="9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(dollars per metric ton)</a:t>
                </a:r>
                <a:endParaRPr lang="en-US" sz="9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83590475569421663"/>
              <c:y val="0.189869823186369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r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01821920"/>
        <c:crosses val="max"/>
        <c:crossBetween val="between"/>
      </c:valAx>
      <c:catAx>
        <c:axId val="16018219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938722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061125084410163"/>
          <c:y val="0.13811142051850664"/>
          <c:w val="0.58756291352896195"/>
          <c:h val="0.11827568867878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356871</xdr:colOff>
      <xdr:row>0</xdr:row>
      <xdr:rowOff>0</xdr:rowOff>
    </xdr:from>
    <xdr:to>
      <xdr:col>19</xdr:col>
      <xdr:colOff>118533</xdr:colOff>
      <xdr:row>23</xdr:row>
      <xdr:rowOff>67733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338A73-7B9D-46A4-990E-A5027B3CAE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0.87107</cdr:y>
    </cdr:from>
    <cdr:to>
      <cdr:x>0.99795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203363"/>
          <a:ext cx="6136734" cy="4741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Stocks for the United States as of September 1 and stocks for Argentina,</a:t>
          </a:r>
          <a:r>
            <a:rPr lang="en-US" sz="8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Brazil, and China as of October 1.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USDA, Foreign Agricultural Service, </a:t>
          </a:r>
          <a:r>
            <a:rPr lang="en-US" sz="8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</a:t>
          </a:r>
          <a:r>
            <a:rPr lang="en-US" sz="8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Supply and Distribution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data.</a:t>
          </a:r>
          <a:endParaRPr lang="en-US" sz="8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356235</xdr:colOff>
      <xdr:row>0</xdr:row>
      <xdr:rowOff>0</xdr:rowOff>
    </xdr:from>
    <xdr:to>
      <xdr:col>15</xdr:col>
      <xdr:colOff>152400</xdr:colOff>
      <xdr:row>22</xdr:row>
      <xdr:rowOff>114300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37E9ADE6-2A79-49F5-A975-3B31265AB1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0.88274</cdr:y>
    </cdr:from>
    <cdr:to>
      <cdr:x>1</cdr:x>
      <cdr:y>0.98895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800475"/>
          <a:ext cx="6006465" cy="4572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</a:t>
          </a:r>
          <a:r>
            <a:rPr lang="en-US" sz="8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Asterisk (*) denotes forecast.</a:t>
          </a:r>
          <a:endParaRPr lang="en-US" sz="8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USDA, World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Agricultural Outlook Board, March 2024 </a:t>
          </a:r>
          <a:r>
            <a:rPr lang="en-US" sz="8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World Agricultural Supply and Demand Estimates.</a:t>
          </a:r>
          <a:endParaRPr lang="en-US" sz="8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275168</xdr:colOff>
      <xdr:row>0</xdr:row>
      <xdr:rowOff>93133</xdr:rowOff>
    </xdr:from>
    <xdr:to>
      <xdr:col>15</xdr:col>
      <xdr:colOff>194733</xdr:colOff>
      <xdr:row>22</xdr:row>
      <xdr:rowOff>126999</xdr:rowOff>
    </xdr:to>
    <xdr:graphicFrame macro="">
      <xdr:nvGraphicFramePr>
        <xdr:cNvPr id="11" name="Chart 4">
          <a:extLst>
            <a:ext uri="{FF2B5EF4-FFF2-40B4-BE49-F238E27FC236}">
              <a16:creationId xmlns:a16="http://schemas.microsoft.com/office/drawing/2014/main" id="{5348074B-CDC3-43B7-969A-8727FE9E1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0.91468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A1E82A4-A363-412D-865A-84479BD7EF3C}"/>
            </a:ext>
          </a:extLst>
        </cdr:cNvPr>
        <cdr:cNvSpPr txBox="1"/>
      </cdr:nvSpPr>
      <cdr:spPr>
        <a:xfrm xmlns:a="http://schemas.openxmlformats.org/drawingml/2006/main">
          <a:off x="0" y="3970866"/>
          <a:ext cx="6709832" cy="370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Shipments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from major exporters (i.e. Argentina, Brazil, and the United States) are lagged to account for time of delivery.</a:t>
          </a:r>
          <a:endParaRPr lang="en-US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Research Service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using data from Trade Data Monitor, LLC.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10584</xdr:colOff>
      <xdr:row>0</xdr:row>
      <xdr:rowOff>2117</xdr:rowOff>
    </xdr:from>
    <xdr:to>
      <xdr:col>18</xdr:col>
      <xdr:colOff>66676</xdr:colOff>
      <xdr:row>24</xdr:row>
      <xdr:rowOff>7831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A8AB2478-18C7-494C-AC03-59DA81373F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0.88413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A1E82A4-A363-412D-865A-84479BD7EF3C}"/>
            </a:ext>
          </a:extLst>
        </cdr:cNvPr>
        <cdr:cNvSpPr txBox="1"/>
      </cdr:nvSpPr>
      <cdr:spPr>
        <a:xfrm xmlns:a="http://schemas.openxmlformats.org/drawingml/2006/main">
          <a:off x="0" y="4129616"/>
          <a:ext cx="7574492" cy="541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Spread between Paranaguá, Brazil free-on-board (FOB) price and U.S. Gulf FOB price.</a:t>
          </a:r>
        </a:p>
        <a:p xmlns:a="http://schemas.openxmlformats.org/drawingml/2006/main">
          <a:r>
            <a:rPr lang="en-US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Research Service</a:t>
          </a:r>
          <a:r>
            <a:rPr lang="en-US" sz="8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using data from Trade Data Monitor, LLC and International Grains Council.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tabSelected="1" workbookViewId="0"/>
  </sheetViews>
  <sheetFormatPr defaultColWidth="9.6640625" defaultRowHeight="13.8"/>
  <cols>
    <col min="1" max="1" width="166.88671875" style="12" customWidth="1"/>
    <col min="2" max="16384" width="9.6640625" style="1"/>
  </cols>
  <sheetData>
    <row r="1" spans="1:3">
      <c r="A1" s="7" t="s">
        <v>0</v>
      </c>
      <c r="B1" s="85"/>
      <c r="C1" s="85"/>
    </row>
    <row r="2" spans="1:3" s="2" customFormat="1">
      <c r="A2" s="8"/>
    </row>
    <row r="3" spans="1:3">
      <c r="A3" s="10" t="s">
        <v>1</v>
      </c>
      <c r="B3" s="3"/>
      <c r="C3" s="2"/>
    </row>
    <row r="4" spans="1:3">
      <c r="A4" s="10" t="s">
        <v>2</v>
      </c>
      <c r="B4" s="4"/>
      <c r="C4" s="85"/>
    </row>
    <row r="5" spans="1:3">
      <c r="A5" s="10" t="s">
        <v>3</v>
      </c>
      <c r="B5" s="4"/>
      <c r="C5" s="85"/>
    </row>
    <row r="6" spans="1:3">
      <c r="A6" s="10" t="s">
        <v>4</v>
      </c>
      <c r="B6" s="4"/>
      <c r="C6" s="85"/>
    </row>
    <row r="7" spans="1:3">
      <c r="A7" s="10" t="s">
        <v>5</v>
      </c>
      <c r="B7" s="4"/>
      <c r="C7" s="85"/>
    </row>
    <row r="8" spans="1:3">
      <c r="A8" s="10" t="s">
        <v>6</v>
      </c>
      <c r="B8" s="4"/>
      <c r="C8" s="85"/>
    </row>
    <row r="9" spans="1:3">
      <c r="A9" s="10" t="s">
        <v>7</v>
      </c>
      <c r="B9" s="4"/>
      <c r="C9" s="85"/>
    </row>
    <row r="10" spans="1:3">
      <c r="A10" s="10" t="s">
        <v>8</v>
      </c>
      <c r="B10" s="4"/>
      <c r="C10" s="85"/>
    </row>
    <row r="11" spans="1:3">
      <c r="A11" s="10" t="s">
        <v>9</v>
      </c>
      <c r="B11" s="4"/>
      <c r="C11" s="85"/>
    </row>
    <row r="12" spans="1:3">
      <c r="A12" s="10" t="s">
        <v>10</v>
      </c>
      <c r="B12" s="4"/>
      <c r="C12" s="85"/>
    </row>
    <row r="13" spans="1:3">
      <c r="A13" s="11" t="s">
        <v>11</v>
      </c>
      <c r="B13" s="4"/>
      <c r="C13" s="85"/>
    </row>
    <row r="14" spans="1:3" ht="13.2">
      <c r="A14" s="85"/>
      <c r="B14" s="85"/>
      <c r="C14" s="85"/>
    </row>
    <row r="15" spans="1:3">
      <c r="A15" s="7" t="s">
        <v>12</v>
      </c>
      <c r="B15" s="85"/>
      <c r="C15" s="85"/>
    </row>
    <row r="16" spans="1:3">
      <c r="A16" s="9">
        <v>45363</v>
      </c>
      <c r="B16" s="85"/>
      <c r="C16" s="85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BBB43-873E-46D3-987E-ADBB9C51E018}">
  <dimension ref="A1:K24"/>
  <sheetViews>
    <sheetView workbookViewId="0"/>
  </sheetViews>
  <sheetFormatPr defaultColWidth="8.88671875" defaultRowHeight="13.2"/>
  <cols>
    <col min="1" max="1" width="23.33203125" style="138" customWidth="1"/>
    <col min="2" max="2" width="24.109375" style="138" bestFit="1" customWidth="1"/>
    <col min="3" max="3" width="27.44140625" style="138" bestFit="1" customWidth="1"/>
    <col min="4" max="4" width="28.109375" style="138" bestFit="1" customWidth="1"/>
    <col min="5" max="5" width="22" style="138" bestFit="1" customWidth="1"/>
    <col min="6" max="9" width="8.88671875" style="138"/>
    <col min="10" max="10" width="11.5546875" style="138" bestFit="1" customWidth="1"/>
    <col min="11" max="11" width="10.6640625" style="138" bestFit="1" customWidth="1"/>
    <col min="12" max="16384" width="8.88671875" style="138"/>
  </cols>
  <sheetData>
    <row r="1" spans="1:5" ht="13.8">
      <c r="A1" s="132" t="s">
        <v>161</v>
      </c>
      <c r="B1" s="133" t="s">
        <v>169</v>
      </c>
      <c r="C1" s="133" t="s">
        <v>170</v>
      </c>
      <c r="D1" s="133" t="s">
        <v>159</v>
      </c>
      <c r="E1" s="133" t="s">
        <v>160</v>
      </c>
    </row>
    <row r="2" spans="1:5" ht="15">
      <c r="A2" s="144" t="s">
        <v>115</v>
      </c>
      <c r="B2" s="136">
        <v>4244.5903540781546</v>
      </c>
      <c r="C2" s="149">
        <f>D2-B2</f>
        <v>7707.9182285805946</v>
      </c>
      <c r="D2" s="135">
        <v>11952.508582658749</v>
      </c>
      <c r="E2" s="135">
        <v>324.55916666666667</v>
      </c>
    </row>
    <row r="3" spans="1:5" ht="15">
      <c r="A3" s="144" t="s">
        <v>116</v>
      </c>
      <c r="B3" s="136">
        <v>4192.245007131316</v>
      </c>
      <c r="C3" s="149">
        <f t="shared" ref="C3:C10" si="0">D3-B3</f>
        <v>7387.5862312012032</v>
      </c>
      <c r="D3" s="135">
        <v>11579.831238332519</v>
      </c>
      <c r="E3" s="135">
        <v>316.88416666666666</v>
      </c>
    </row>
    <row r="4" spans="1:5" ht="15">
      <c r="A4" s="144" t="s">
        <v>117</v>
      </c>
      <c r="B4" s="136">
        <v>4253.6155279287796</v>
      </c>
      <c r="C4" s="149">
        <f t="shared" si="0"/>
        <v>9764.8808472806759</v>
      </c>
      <c r="D4" s="135">
        <v>14018.496375209455</v>
      </c>
      <c r="E4" s="135">
        <v>345.02250000000004</v>
      </c>
    </row>
    <row r="5" spans="1:5" ht="15">
      <c r="A5" s="144" t="s">
        <v>118</v>
      </c>
      <c r="B5" s="136">
        <v>4964.19295613753</v>
      </c>
      <c r="C5" s="149">
        <f t="shared" si="0"/>
        <v>8418.5627875481259</v>
      </c>
      <c r="D5" s="135">
        <v>13382.755743685655</v>
      </c>
      <c r="E5" s="135">
        <v>308.28249999999997</v>
      </c>
    </row>
    <row r="6" spans="1:5" ht="15">
      <c r="A6" s="144" t="s">
        <v>119</v>
      </c>
      <c r="B6" s="136">
        <v>4529.876788440979</v>
      </c>
      <c r="C6" s="149">
        <f t="shared" si="0"/>
        <v>9303.2347445819032</v>
      </c>
      <c r="D6" s="135">
        <v>13833.111533022882</v>
      </c>
      <c r="E6" s="135">
        <v>299.50083333333328</v>
      </c>
    </row>
    <row r="7" spans="1:5" ht="15">
      <c r="A7" s="144" t="s">
        <v>120</v>
      </c>
      <c r="B7" s="136">
        <v>5244.1501562410285</v>
      </c>
      <c r="C7" s="149">
        <f t="shared" si="0"/>
        <v>8431.2142349152564</v>
      </c>
      <c r="D7" s="135">
        <v>13675.364391156285</v>
      </c>
      <c r="E7" s="135">
        <v>392.31</v>
      </c>
    </row>
    <row r="8" spans="1:5" ht="15">
      <c r="A8" s="144" t="s">
        <v>34</v>
      </c>
      <c r="B8" s="136">
        <v>5040.1557638256427</v>
      </c>
      <c r="C8" s="149">
        <f t="shared" si="0"/>
        <v>8499.9721154189465</v>
      </c>
      <c r="D8" s="135">
        <v>13540.12787924459</v>
      </c>
      <c r="E8" s="135">
        <v>439.54958333333337</v>
      </c>
    </row>
    <row r="9" spans="1:5" ht="15">
      <c r="A9" s="144" t="s">
        <v>37</v>
      </c>
      <c r="B9" s="136">
        <v>4884.7510334927956</v>
      </c>
      <c r="C9" s="149">
        <f t="shared" si="0"/>
        <v>9778.7571829754834</v>
      </c>
      <c r="D9" s="135">
        <v>14663.508216468279</v>
      </c>
      <c r="E9" s="135">
        <v>451.90875</v>
      </c>
    </row>
    <row r="10" spans="1:5" ht="15">
      <c r="A10" s="144" t="s">
        <v>158</v>
      </c>
      <c r="B10" s="136">
        <v>5894.5580318245602</v>
      </c>
      <c r="C10" s="149">
        <f t="shared" si="0"/>
        <v>9905.4419681754407</v>
      </c>
      <c r="D10" s="135">
        <v>15800</v>
      </c>
      <c r="E10" s="135">
        <v>380</v>
      </c>
    </row>
    <row r="11" spans="1:5" ht="13.8">
      <c r="A11" s="134"/>
      <c r="B11" s="136"/>
      <c r="C11" s="136"/>
      <c r="D11" s="136"/>
      <c r="E11" s="136"/>
    </row>
    <row r="12" spans="1:5" ht="13.8">
      <c r="A12" s="134"/>
      <c r="B12" s="136"/>
      <c r="C12" s="136"/>
      <c r="D12" s="136"/>
      <c r="E12" s="136"/>
    </row>
    <row r="13" spans="1:5" ht="13.8">
      <c r="A13" s="134"/>
      <c r="B13" s="139"/>
      <c r="C13" s="139"/>
      <c r="D13" s="148"/>
      <c r="E13" s="139"/>
    </row>
    <row r="14" spans="1:5">
      <c r="B14" s="140"/>
      <c r="C14" s="140"/>
      <c r="D14" s="140"/>
      <c r="E14" s="141"/>
    </row>
    <row r="15" spans="1:5">
      <c r="B15" s="140"/>
      <c r="C15" s="140"/>
      <c r="D15" s="140"/>
      <c r="E15" s="141"/>
    </row>
    <row r="16" spans="1:5">
      <c r="B16" s="140"/>
      <c r="C16" s="140"/>
      <c r="D16" s="140"/>
      <c r="E16" s="140"/>
    </row>
    <row r="19" spans="10:11">
      <c r="J19" s="137"/>
      <c r="K19" s="142"/>
    </row>
    <row r="20" spans="10:11">
      <c r="J20" s="137"/>
      <c r="K20" s="142"/>
    </row>
    <row r="21" spans="10:11">
      <c r="J21" s="137"/>
      <c r="K21" s="142"/>
    </row>
    <row r="22" spans="10:11">
      <c r="J22" s="137"/>
      <c r="K22" s="142"/>
    </row>
    <row r="23" spans="10:11">
      <c r="J23" s="137"/>
      <c r="K23" s="142"/>
    </row>
    <row r="24" spans="10:11">
      <c r="J24" s="137"/>
    </row>
  </sheetData>
  <phoneticPr fontId="40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5C4AB-76CE-4A3A-AA11-8B961D01FBE3}">
  <dimension ref="A1:N40"/>
  <sheetViews>
    <sheetView zoomScale="90" zoomScaleNormal="90" workbookViewId="0">
      <selection activeCell="I29" sqref="I29"/>
    </sheetView>
  </sheetViews>
  <sheetFormatPr defaultColWidth="9.109375" defaultRowHeight="13.8"/>
  <cols>
    <col min="1" max="1" width="15.44140625" style="15" customWidth="1"/>
    <col min="2" max="2" width="20" style="15" customWidth="1"/>
    <col min="3" max="3" width="22" style="15" customWidth="1"/>
    <col min="4" max="4" width="14.88671875" style="15" customWidth="1"/>
    <col min="5" max="6" width="10.33203125" style="15" bestFit="1" customWidth="1"/>
    <col min="7" max="7" width="10.6640625" style="15" bestFit="1" customWidth="1"/>
    <col min="8" max="8" width="9.109375" style="15"/>
    <col min="9" max="9" width="10.109375" style="15" bestFit="1" customWidth="1"/>
    <col min="10" max="16384" width="9.109375" style="15"/>
  </cols>
  <sheetData>
    <row r="1" spans="1:5">
      <c r="A1" s="31" t="s">
        <v>175</v>
      </c>
    </row>
    <row r="2" spans="1:5" ht="45" customHeight="1" thickBot="1">
      <c r="A2" s="115" t="s">
        <v>172</v>
      </c>
      <c r="B2" s="115" t="s">
        <v>173</v>
      </c>
      <c r="C2" s="115" t="s">
        <v>174</v>
      </c>
      <c r="D2" s="115" t="s">
        <v>171</v>
      </c>
    </row>
    <row r="3" spans="1:5">
      <c r="A3" s="79">
        <v>2018</v>
      </c>
      <c r="B3" s="79">
        <v>84</v>
      </c>
      <c r="C3" s="20">
        <v>84</v>
      </c>
      <c r="D3" s="161">
        <f>C3-B3</f>
        <v>0</v>
      </c>
      <c r="E3" s="173"/>
    </row>
    <row r="4" spans="1:5">
      <c r="A4" s="79">
        <v>2019</v>
      </c>
      <c r="B4" s="79">
        <v>84</v>
      </c>
      <c r="C4" s="20">
        <v>83</v>
      </c>
      <c r="D4" s="161">
        <f t="shared" ref="D4:D8" si="0">C4-B4</f>
        <v>-1</v>
      </c>
      <c r="E4" s="173"/>
    </row>
    <row r="5" spans="1:5">
      <c r="A5" s="79">
        <v>2020</v>
      </c>
      <c r="B5" s="79">
        <v>101</v>
      </c>
      <c r="C5" s="20">
        <v>98</v>
      </c>
      <c r="D5" s="161">
        <f t="shared" si="0"/>
        <v>-3</v>
      </c>
      <c r="E5" s="173"/>
    </row>
    <row r="6" spans="1:5">
      <c r="A6" s="79">
        <v>2021</v>
      </c>
      <c r="B6" s="79">
        <v>91</v>
      </c>
      <c r="C6" s="20">
        <v>94</v>
      </c>
      <c r="D6" s="161">
        <f t="shared" si="0"/>
        <v>3</v>
      </c>
      <c r="E6" s="173"/>
    </row>
    <row r="7" spans="1:5">
      <c r="A7" s="79">
        <v>2022</v>
      </c>
      <c r="B7" s="79">
        <v>88</v>
      </c>
      <c r="C7" s="20">
        <v>86</v>
      </c>
      <c r="D7" s="161">
        <f t="shared" si="0"/>
        <v>-2</v>
      </c>
      <c r="E7" s="173"/>
    </row>
    <row r="8" spans="1:5">
      <c r="A8" s="79">
        <v>2023</v>
      </c>
      <c r="B8" s="79">
        <v>104</v>
      </c>
      <c r="C8" s="20">
        <v>96</v>
      </c>
      <c r="D8" s="161">
        <f t="shared" si="0"/>
        <v>-8</v>
      </c>
      <c r="E8" s="173"/>
    </row>
    <row r="9" spans="1:5">
      <c r="A9" s="160"/>
      <c r="B9" s="160"/>
      <c r="C9" s="20"/>
      <c r="D9" s="161"/>
      <c r="E9" s="162"/>
    </row>
    <row r="10" spans="1:5">
      <c r="A10" s="160"/>
      <c r="B10" s="79"/>
      <c r="C10" s="79"/>
      <c r="D10" s="79"/>
      <c r="E10" s="162"/>
    </row>
    <row r="11" spans="1:5">
      <c r="A11" s="160"/>
      <c r="B11" s="79"/>
      <c r="C11" s="79"/>
      <c r="D11" s="79"/>
      <c r="E11" s="162"/>
    </row>
    <row r="12" spans="1:5">
      <c r="A12" s="160"/>
      <c r="B12" s="79"/>
      <c r="C12" s="79"/>
      <c r="D12" s="79"/>
      <c r="E12" s="162"/>
    </row>
    <row r="13" spans="1:5">
      <c r="A13" s="160"/>
      <c r="B13" s="79"/>
      <c r="C13" s="79"/>
      <c r="D13" s="79"/>
      <c r="E13" s="162"/>
    </row>
    <row r="14" spans="1:5">
      <c r="A14" s="160"/>
      <c r="B14" s="79"/>
      <c r="C14" s="79"/>
      <c r="D14" s="79"/>
      <c r="E14" s="162"/>
    </row>
    <row r="15" spans="1:5">
      <c r="A15" s="160"/>
      <c r="B15" s="79"/>
      <c r="C15" s="79"/>
      <c r="D15" s="79"/>
      <c r="E15" s="162"/>
    </row>
    <row r="16" spans="1:5">
      <c r="A16" s="160"/>
      <c r="B16" s="79"/>
      <c r="C16" s="20"/>
      <c r="D16" s="20"/>
      <c r="E16" s="162"/>
    </row>
    <row r="17" spans="1:5">
      <c r="A17" s="160"/>
      <c r="B17" s="79"/>
      <c r="C17" s="20"/>
      <c r="D17" s="20"/>
      <c r="E17" s="162"/>
    </row>
    <row r="18" spans="1:5">
      <c r="A18" s="160"/>
      <c r="B18" s="160"/>
      <c r="C18" s="20"/>
      <c r="D18" s="20"/>
      <c r="E18" s="162"/>
    </row>
    <row r="19" spans="1:5">
      <c r="A19" s="160"/>
      <c r="B19" s="160"/>
      <c r="C19" s="20"/>
      <c r="D19" s="20"/>
      <c r="E19" s="162"/>
    </row>
    <row r="20" spans="1:5">
      <c r="A20" s="108"/>
      <c r="B20" s="108"/>
      <c r="D20" s="108"/>
    </row>
    <row r="36" spans="2:14" ht="15.6">
      <c r="B36" s="175"/>
      <c r="C36" s="175"/>
      <c r="D36" s="175"/>
      <c r="E36" s="175"/>
      <c r="F36" s="175"/>
      <c r="G36" s="175"/>
      <c r="I36" s="175"/>
      <c r="J36" s="175"/>
      <c r="K36" s="175"/>
      <c r="L36" s="175"/>
      <c r="M36" s="175"/>
      <c r="N36" s="175"/>
    </row>
    <row r="37" spans="2:14" ht="15.6">
      <c r="B37" s="175"/>
      <c r="C37" s="175"/>
      <c r="D37" s="175"/>
      <c r="E37" s="175"/>
      <c r="F37" s="175"/>
      <c r="G37" s="175"/>
      <c r="I37" s="175"/>
      <c r="J37" s="175"/>
      <c r="K37" s="175"/>
      <c r="L37" s="175"/>
      <c r="M37" s="175"/>
      <c r="N37" s="175"/>
    </row>
    <row r="38" spans="2:14" ht="15.6">
      <c r="B38" s="175"/>
      <c r="C38" s="175"/>
      <c r="D38" s="175"/>
      <c r="E38" s="175"/>
      <c r="F38" s="175"/>
      <c r="G38" s="175"/>
      <c r="I38" s="175"/>
      <c r="J38" s="175"/>
      <c r="K38" s="175"/>
      <c r="L38" s="175"/>
      <c r="M38" s="175"/>
      <c r="N38" s="175"/>
    </row>
    <row r="40" spans="2:14">
      <c r="B40" s="174"/>
      <c r="C40" s="174"/>
      <c r="D40" s="174"/>
      <c r="E40" s="174"/>
      <c r="F40" s="174"/>
      <c r="G40" s="174"/>
      <c r="I40" s="174"/>
      <c r="J40" s="174"/>
      <c r="K40" s="174"/>
      <c r="L40" s="174"/>
      <c r="M40" s="174"/>
      <c r="N40" s="174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3A77B-5040-42F7-BB5A-680BB1DEF1DE}">
  <dimension ref="A1:H20"/>
  <sheetViews>
    <sheetView zoomScale="90" zoomScaleNormal="90" workbookViewId="0"/>
  </sheetViews>
  <sheetFormatPr defaultColWidth="9.109375" defaultRowHeight="13.8"/>
  <cols>
    <col min="1" max="1" width="15.44140625" style="15" customWidth="1"/>
    <col min="2" max="2" width="19.77734375" style="15" customWidth="1"/>
    <col min="3" max="3" width="17.6640625" style="15" customWidth="1"/>
    <col min="4" max="4" width="21.44140625" customWidth="1"/>
    <col min="5" max="5" width="20" customWidth="1"/>
    <col min="6" max="16384" width="9.109375" style="15"/>
  </cols>
  <sheetData>
    <row r="1" spans="1:8" ht="45" customHeight="1" thickBot="1">
      <c r="A1" s="177" t="s">
        <v>176</v>
      </c>
      <c r="B1" s="177" t="s">
        <v>177</v>
      </c>
      <c r="C1" s="177" t="s">
        <v>178</v>
      </c>
      <c r="D1" s="177" t="s">
        <v>179</v>
      </c>
      <c r="E1" s="177" t="s">
        <v>180</v>
      </c>
    </row>
    <row r="2" spans="1:8">
      <c r="A2" s="15" t="s">
        <v>39</v>
      </c>
      <c r="B2" s="174">
        <v>3.7982324219999999</v>
      </c>
      <c r="C2" s="174">
        <v>5.6000552649999999</v>
      </c>
      <c r="D2" s="176">
        <v>5.5099999999999909</v>
      </c>
      <c r="E2" s="176">
        <v>-18.449999999999989</v>
      </c>
      <c r="F2" s="162"/>
      <c r="G2" s="62"/>
      <c r="H2" s="162"/>
    </row>
    <row r="3" spans="1:8">
      <c r="A3" s="15" t="s">
        <v>40</v>
      </c>
      <c r="B3" s="174">
        <v>2.5249117879999998</v>
      </c>
      <c r="C3" s="174">
        <v>5.1961901819999996</v>
      </c>
      <c r="D3" s="176">
        <v>4.2799999999999727</v>
      </c>
      <c r="E3" s="176">
        <v>-15.160000000000025</v>
      </c>
      <c r="F3" s="162"/>
      <c r="G3" s="62"/>
      <c r="H3" s="162"/>
    </row>
    <row r="4" spans="1:8">
      <c r="A4" s="15" t="s">
        <v>42</v>
      </c>
      <c r="B4" s="174">
        <v>1.9359600910000001</v>
      </c>
      <c r="C4" s="174">
        <v>3.8287221759999999</v>
      </c>
      <c r="D4" s="176">
        <v>-12</v>
      </c>
      <c r="E4" s="176">
        <v>-11.449999999999989</v>
      </c>
      <c r="F4" s="162"/>
      <c r="G4" s="62"/>
      <c r="H4" s="162"/>
    </row>
    <row r="5" spans="1:8">
      <c r="A5" s="15" t="s">
        <v>43</v>
      </c>
      <c r="B5" s="174">
        <v>0.83958874299999997</v>
      </c>
      <c r="C5" s="174">
        <v>2.8548858319999999</v>
      </c>
      <c r="D5" s="176">
        <v>-16.829999999999927</v>
      </c>
      <c r="E5" s="176">
        <v>-46.430000000000007</v>
      </c>
      <c r="F5" s="162"/>
      <c r="G5" s="62"/>
      <c r="H5" s="162"/>
    </row>
    <row r="6" spans="1:8">
      <c r="A6" s="15" t="s">
        <v>44</v>
      </c>
      <c r="B6" s="174">
        <v>5.016935589</v>
      </c>
      <c r="C6" s="174">
        <v>6.6095478639999996</v>
      </c>
      <c r="D6" s="176">
        <v>-34.760000000000105</v>
      </c>
      <c r="E6" s="176">
        <v>-57.720000000000027</v>
      </c>
      <c r="F6" s="162"/>
      <c r="G6" s="62"/>
      <c r="H6" s="162"/>
    </row>
    <row r="7" spans="1:8">
      <c r="A7" s="15" t="s">
        <v>46</v>
      </c>
      <c r="B7" s="174">
        <v>13.241396236</v>
      </c>
      <c r="C7" s="174"/>
      <c r="D7" s="176">
        <v>-55.419999999999959</v>
      </c>
      <c r="E7" s="176"/>
      <c r="F7" s="162"/>
      <c r="G7" s="62"/>
      <c r="H7" s="162"/>
    </row>
    <row r="8" spans="1:8">
      <c r="A8" s="15" t="s">
        <v>47</v>
      </c>
      <c r="B8" s="174">
        <v>14.336464478</v>
      </c>
      <c r="C8" s="174"/>
      <c r="D8" s="176">
        <v>-90.920000000000016</v>
      </c>
      <c r="E8" s="176"/>
      <c r="F8" s="162"/>
      <c r="G8" s="62"/>
      <c r="H8" s="162"/>
    </row>
    <row r="9" spans="1:8">
      <c r="A9" s="15" t="s">
        <v>48</v>
      </c>
      <c r="B9" s="174">
        <v>15.584238723</v>
      </c>
      <c r="C9" s="174"/>
      <c r="D9" s="176">
        <v>-62.830000000000041</v>
      </c>
      <c r="E9" s="176"/>
      <c r="F9" s="162"/>
      <c r="G9" s="62"/>
      <c r="H9" s="162"/>
    </row>
    <row r="10" spans="1:8">
      <c r="A10" s="15" t="s">
        <v>50</v>
      </c>
      <c r="B10" s="174">
        <v>13.745336738000001</v>
      </c>
      <c r="C10" s="174"/>
      <c r="D10" s="176">
        <v>-67.230000000000018</v>
      </c>
      <c r="E10" s="176"/>
      <c r="F10" s="162"/>
      <c r="G10" s="62"/>
      <c r="H10" s="162"/>
    </row>
    <row r="11" spans="1:8">
      <c r="A11" s="15" t="s">
        <v>51</v>
      </c>
      <c r="B11" s="174">
        <v>9.6959327460000004</v>
      </c>
      <c r="C11" s="174"/>
      <c r="D11" s="176">
        <v>-58.269999999999982</v>
      </c>
      <c r="E11" s="176"/>
      <c r="F11" s="162"/>
      <c r="G11" s="62"/>
      <c r="H11" s="162"/>
    </row>
    <row r="12" spans="1:8">
      <c r="A12" s="15" t="s">
        <v>52</v>
      </c>
      <c r="B12" s="174">
        <v>8.3869512739999994</v>
      </c>
      <c r="C12" s="174"/>
      <c r="D12" s="176">
        <v>-20.419999999999959</v>
      </c>
      <c r="E12" s="176"/>
      <c r="F12" s="162"/>
      <c r="G12" s="62"/>
      <c r="H12" s="162"/>
    </row>
    <row r="13" spans="1:8">
      <c r="A13" s="15" t="s">
        <v>38</v>
      </c>
      <c r="B13" s="174">
        <v>6.3980783130000001</v>
      </c>
      <c r="C13" s="174"/>
      <c r="D13" s="176">
        <v>-16.25</v>
      </c>
      <c r="E13" s="176"/>
      <c r="F13" s="162"/>
      <c r="G13" s="62"/>
      <c r="H13" s="162"/>
    </row>
    <row r="14" spans="1:8">
      <c r="A14" s="160"/>
      <c r="B14" s="20"/>
      <c r="C14" s="20"/>
      <c r="F14" s="162"/>
      <c r="G14" s="62"/>
      <c r="H14" s="162"/>
    </row>
    <row r="15" spans="1:8">
      <c r="A15" s="160"/>
      <c r="B15" s="20"/>
      <c r="C15" s="20"/>
      <c r="F15" s="162"/>
      <c r="G15" s="62"/>
      <c r="H15" s="162"/>
    </row>
    <row r="16" spans="1:8">
      <c r="A16" s="160"/>
      <c r="B16" s="20"/>
      <c r="C16" s="20"/>
      <c r="F16" s="162"/>
      <c r="G16" s="62"/>
      <c r="H16" s="162"/>
    </row>
    <row r="17" spans="1:8">
      <c r="A17" s="160"/>
      <c r="B17" s="20"/>
      <c r="C17" s="20"/>
      <c r="F17" s="162"/>
      <c r="G17" s="62"/>
      <c r="H17" s="162"/>
    </row>
    <row r="18" spans="1:8">
      <c r="A18" s="160"/>
      <c r="B18" s="20"/>
      <c r="C18" s="20"/>
      <c r="F18" s="162"/>
      <c r="G18" s="62"/>
      <c r="H18" s="162"/>
    </row>
    <row r="19" spans="1:8">
      <c r="A19" s="160"/>
      <c r="B19" s="20"/>
      <c r="C19" s="20"/>
      <c r="F19" s="162"/>
      <c r="G19" s="62"/>
      <c r="H19" s="162"/>
    </row>
    <row r="20" spans="1:8">
      <c r="A20" s="108"/>
      <c r="C20" s="108"/>
    </row>
  </sheetData>
  <phoneticPr fontId="40" type="noConversion"/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51"/>
  <sheetViews>
    <sheetView showGridLines="0" zoomScale="70" zoomScaleNormal="70" workbookViewId="0">
      <selection activeCell="R38" sqref="R38"/>
    </sheetView>
  </sheetViews>
  <sheetFormatPr defaultColWidth="9.109375" defaultRowHeight="13.2"/>
  <cols>
    <col min="1" max="1" width="21.6640625" customWidth="1"/>
    <col min="2" max="2" width="14.109375" customWidth="1"/>
    <col min="3" max="3" width="9.5546875" customWidth="1"/>
    <col min="4" max="4" width="26.6640625" customWidth="1"/>
    <col min="5" max="5" width="9.6640625" customWidth="1"/>
    <col min="6" max="6" width="10.6640625" customWidth="1"/>
    <col min="7" max="7" width="19.88671875" customWidth="1"/>
    <col min="8" max="8" width="9.6640625" customWidth="1"/>
    <col min="9" max="9" width="1.6640625" customWidth="1"/>
    <col min="10" max="10" width="14.6640625" customWidth="1"/>
    <col min="11" max="12" width="10.6640625" customWidth="1"/>
    <col min="13" max="13" width="10.33203125" customWidth="1"/>
    <col min="14" max="14" width="9.6640625" customWidth="1"/>
    <col min="17" max="17" width="15.44140625" bestFit="1" customWidth="1"/>
    <col min="18" max="18" width="13.33203125" bestFit="1" customWidth="1"/>
    <col min="22" max="22" width="12.109375" customWidth="1"/>
    <col min="24" max="24" width="10.44140625" bestFit="1" customWidth="1"/>
  </cols>
  <sheetData>
    <row r="1" spans="1:23" ht="13.8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23" ht="13.8">
      <c r="A2" s="15"/>
      <c r="B2" s="16" t="s">
        <v>13</v>
      </c>
      <c r="C2" s="145"/>
      <c r="D2" s="17" t="s">
        <v>14</v>
      </c>
      <c r="E2" s="18"/>
      <c r="F2" s="145" t="s">
        <v>15</v>
      </c>
      <c r="G2" s="145"/>
      <c r="H2" s="145"/>
      <c r="I2" s="15"/>
      <c r="J2" s="18"/>
      <c r="K2" s="145"/>
      <c r="L2" s="19" t="s">
        <v>16</v>
      </c>
      <c r="M2" s="145"/>
      <c r="N2" s="15"/>
    </row>
    <row r="3" spans="1:23" ht="13.8">
      <c r="A3" s="15" t="s">
        <v>17</v>
      </c>
      <c r="B3" s="17" t="s">
        <v>18</v>
      </c>
      <c r="C3" s="15" t="s">
        <v>19</v>
      </c>
      <c r="D3" s="17"/>
      <c r="E3" s="20" t="s">
        <v>20</v>
      </c>
      <c r="F3" s="20"/>
      <c r="G3" s="20"/>
      <c r="H3" s="20"/>
      <c r="I3" s="20"/>
      <c r="J3" s="17" t="s">
        <v>21</v>
      </c>
      <c r="K3" s="20" t="s">
        <v>22</v>
      </c>
      <c r="L3" s="20"/>
      <c r="M3" s="20"/>
      <c r="N3" s="20" t="s">
        <v>23</v>
      </c>
    </row>
    <row r="4" spans="1:23" ht="13.8">
      <c r="A4" s="21" t="s">
        <v>24</v>
      </c>
      <c r="B4" s="22"/>
      <c r="C4" s="22"/>
      <c r="D4" s="22"/>
      <c r="E4" s="23" t="s">
        <v>25</v>
      </c>
      <c r="F4" s="23" t="s">
        <v>26</v>
      </c>
      <c r="G4" s="24" t="s">
        <v>27</v>
      </c>
      <c r="H4" s="25" t="s">
        <v>28</v>
      </c>
      <c r="I4" s="24"/>
      <c r="J4" s="24"/>
      <c r="K4" s="24" t="s">
        <v>29</v>
      </c>
      <c r="L4" s="25" t="s">
        <v>30</v>
      </c>
      <c r="M4" s="23" t="s">
        <v>28</v>
      </c>
      <c r="N4" s="24" t="s">
        <v>25</v>
      </c>
      <c r="W4" s="26"/>
    </row>
    <row r="5" spans="1:23" ht="14.4">
      <c r="A5" s="15"/>
      <c r="B5" s="147" t="s">
        <v>31</v>
      </c>
      <c r="C5" s="146"/>
      <c r="D5" s="27" t="s">
        <v>32</v>
      </c>
      <c r="G5" s="147"/>
      <c r="I5" s="147"/>
      <c r="J5" s="147" t="s">
        <v>33</v>
      </c>
      <c r="K5" s="147"/>
      <c r="L5" s="147"/>
      <c r="M5" s="147"/>
      <c r="N5" s="147"/>
      <c r="W5" s="26"/>
    </row>
    <row r="6" spans="1:23" ht="16.5" customHeight="1">
      <c r="A6" s="15" t="s">
        <v>34</v>
      </c>
      <c r="B6" s="117">
        <v>87.194999999999993</v>
      </c>
      <c r="C6" s="117">
        <v>86.292000000000002</v>
      </c>
      <c r="D6" s="117">
        <f>F6/C6</f>
        <v>51.737032401613128</v>
      </c>
      <c r="E6" s="118">
        <v>256.97899999999998</v>
      </c>
      <c r="F6" s="119">
        <v>4464.4920000000002</v>
      </c>
      <c r="G6" s="28">
        <v>15.915130131319001</v>
      </c>
      <c r="H6" s="28">
        <f>SUM(E6:G6)</f>
        <v>4737.3861301313191</v>
      </c>
      <c r="I6" s="15"/>
      <c r="J6" s="119">
        <v>2203.8727764571586</v>
      </c>
      <c r="K6" s="119">
        <f>M6-L6-J6</f>
        <v>107.00538551899945</v>
      </c>
      <c r="L6" s="28">
        <v>2152.1139681551608</v>
      </c>
      <c r="M6" s="28">
        <f>H6-N6</f>
        <v>4462.9921301313188</v>
      </c>
      <c r="N6" s="28">
        <v>274.39400000000001</v>
      </c>
    </row>
    <row r="7" spans="1:23" ht="16.5" customHeight="1">
      <c r="A7" s="15" t="s">
        <v>35</v>
      </c>
      <c r="B7" s="117">
        <v>87.45</v>
      </c>
      <c r="C7" s="117">
        <v>86.174000000000007</v>
      </c>
      <c r="D7" s="117">
        <f>F7/C7</f>
        <v>49.555329913895143</v>
      </c>
      <c r="E7" s="118">
        <f>N6</f>
        <v>274.39400000000001</v>
      </c>
      <c r="F7" s="119">
        <v>4270.3810000000003</v>
      </c>
      <c r="G7" s="28">
        <f>G27</f>
        <v>24.512114749955</v>
      </c>
      <c r="H7" s="28">
        <f>SUM(E7:G7)</f>
        <v>4569.2871147499554</v>
      </c>
      <c r="I7" s="15"/>
      <c r="J7" s="119">
        <f>J27</f>
        <v>2211.9384453555185</v>
      </c>
      <c r="K7" s="119">
        <f>M7-L7-J7</f>
        <v>101.34858267427353</v>
      </c>
      <c r="L7" s="28">
        <f>L27</f>
        <v>1991.816086720163</v>
      </c>
      <c r="M7" s="28">
        <f>H7-N7</f>
        <v>4305.1031147499552</v>
      </c>
      <c r="N7" s="28">
        <v>264.18400000000003</v>
      </c>
      <c r="P7" s="163"/>
    </row>
    <row r="8" spans="1:23" ht="16.5" customHeight="1">
      <c r="A8" s="15" t="s">
        <v>36</v>
      </c>
      <c r="B8" s="117">
        <v>83.6</v>
      </c>
      <c r="C8" s="117">
        <v>82.355999999999995</v>
      </c>
      <c r="D8" s="117">
        <f>F8/C8</f>
        <v>50.569199572587301</v>
      </c>
      <c r="E8" s="118">
        <f>N7</f>
        <v>264.18400000000003</v>
      </c>
      <c r="F8" s="119">
        <v>4164.6769999999997</v>
      </c>
      <c r="G8" s="28">
        <v>30</v>
      </c>
      <c r="H8" s="28">
        <f>SUM(E8:G8)</f>
        <v>4458.8609999999999</v>
      </c>
      <c r="I8" s="15"/>
      <c r="J8" s="119">
        <v>2300</v>
      </c>
      <c r="K8" s="164">
        <v>123.834</v>
      </c>
      <c r="L8" s="28">
        <v>1720</v>
      </c>
      <c r="M8" s="28">
        <f>SUM(J8:L8)</f>
        <v>4143.8339999999998</v>
      </c>
      <c r="N8" s="28">
        <f>H8-M8</f>
        <v>315.02700000000004</v>
      </c>
      <c r="P8" s="163"/>
      <c r="Q8" s="163"/>
    </row>
    <row r="9" spans="1:23" ht="16.5" customHeight="1">
      <c r="A9" s="15"/>
      <c r="B9" s="15"/>
      <c r="C9" s="15"/>
      <c r="D9" s="15"/>
      <c r="E9" s="29"/>
      <c r="F9" s="29"/>
      <c r="G9" s="30"/>
      <c r="H9" s="29"/>
      <c r="I9" s="29"/>
      <c r="J9" s="30"/>
      <c r="K9" s="30"/>
      <c r="L9" s="30"/>
      <c r="M9" s="30"/>
      <c r="N9" s="30"/>
    </row>
    <row r="10" spans="1:23" ht="16.5" customHeight="1">
      <c r="A10" s="31" t="s">
        <v>37</v>
      </c>
      <c r="B10" s="86"/>
      <c r="C10" s="86"/>
      <c r="D10" s="86"/>
      <c r="E10" s="33"/>
      <c r="F10" s="33"/>
      <c r="G10" s="6"/>
      <c r="H10" s="13"/>
      <c r="I10" s="86"/>
      <c r="J10" s="13"/>
      <c r="K10" s="32"/>
      <c r="L10" s="6"/>
      <c r="M10" s="6"/>
      <c r="N10" s="13"/>
    </row>
    <row r="11" spans="1:23" ht="16.5" customHeight="1">
      <c r="A11" s="15" t="s">
        <v>38</v>
      </c>
      <c r="B11" s="86"/>
      <c r="C11" s="86"/>
      <c r="D11" s="86"/>
      <c r="E11" s="33"/>
      <c r="F11" s="33"/>
      <c r="G11" s="6">
        <f>(31794.8*36.74371)/1000000</f>
        <v>1.1682589107079999</v>
      </c>
      <c r="H11" s="13"/>
      <c r="I11" s="86"/>
      <c r="J11" s="6">
        <f>((5028287*0.907185)*36.74371)/1000000</f>
        <v>167.60961304264146</v>
      </c>
      <c r="K11" s="32"/>
      <c r="L11" s="6">
        <f>(2077930.3*36.74371)/1000000</f>
        <v>76.350868343412998</v>
      </c>
      <c r="M11" s="6"/>
      <c r="N11" s="13"/>
      <c r="Q11" s="89"/>
    </row>
    <row r="12" spans="1:23" ht="16.5" customHeight="1">
      <c r="A12" s="15" t="s">
        <v>39</v>
      </c>
      <c r="B12" s="86"/>
      <c r="C12" s="86"/>
      <c r="D12" s="86"/>
      <c r="E12" s="33"/>
      <c r="F12" s="33"/>
      <c r="G12" s="6">
        <f>(33827.2*36.74371)/1000000</f>
        <v>1.2429368269119998</v>
      </c>
      <c r="H12" s="13"/>
      <c r="I12" s="86"/>
      <c r="J12" s="6">
        <f>((5899694*0.907185)*36.74371)/1000000</f>
        <v>196.65652107964277</v>
      </c>
      <c r="K12" s="32"/>
      <c r="L12" s="6">
        <f>(9947619.5*36.74371)/1000000</f>
        <v>365.51244609834498</v>
      </c>
      <c r="M12" s="6"/>
      <c r="N12" s="13"/>
      <c r="Q12" s="89"/>
    </row>
    <row r="13" spans="1:23" ht="16.5" customHeight="1">
      <c r="A13" s="15" t="s">
        <v>40</v>
      </c>
      <c r="B13" s="86"/>
      <c r="C13" s="86"/>
      <c r="D13" s="86"/>
      <c r="E13" s="33"/>
      <c r="F13" s="33"/>
      <c r="G13" s="6">
        <f>(35058.7*36.74371)/1000000</f>
        <v>1.288186705777</v>
      </c>
      <c r="H13" s="13"/>
      <c r="I13" s="86"/>
      <c r="J13" s="6">
        <f>((5687098*0.907185)*36.74371)/1000000</f>
        <v>189.56998578553299</v>
      </c>
      <c r="K13" s="32"/>
      <c r="L13" s="6">
        <f>(9794669.4*36.74371)/1000000</f>
        <v>359.89249197947402</v>
      </c>
      <c r="M13" s="6"/>
      <c r="N13" s="13"/>
      <c r="Q13" s="89"/>
    </row>
    <row r="14" spans="1:23" ht="16.5" customHeight="1">
      <c r="A14" s="15" t="s">
        <v>41</v>
      </c>
      <c r="B14" s="86"/>
      <c r="C14" s="86"/>
      <c r="D14" s="86"/>
      <c r="E14" s="33">
        <f>N6</f>
        <v>274.39400000000001</v>
      </c>
      <c r="F14" s="33">
        <v>4270.3810000000003</v>
      </c>
      <c r="G14" s="6">
        <f>SUM(G11:G13)</f>
        <v>3.699382443397</v>
      </c>
      <c r="H14" s="13">
        <f>SUM(E14:G14)</f>
        <v>4548.4743824433972</v>
      </c>
      <c r="I14" s="86"/>
      <c r="J14" s="6">
        <f>SUM(J11:J13)</f>
        <v>553.83611990781719</v>
      </c>
      <c r="K14" s="32">
        <f>M14-L14-J14</f>
        <v>171.73045611434793</v>
      </c>
      <c r="L14" s="6">
        <f>SUM(L11:L13)</f>
        <v>801.75580642123202</v>
      </c>
      <c r="M14" s="6">
        <f>H14-N14</f>
        <v>1527.3223824433971</v>
      </c>
      <c r="N14" s="13">
        <f>3021.152</f>
        <v>3021.152</v>
      </c>
    </row>
    <row r="15" spans="1:23" ht="16.5" customHeight="1">
      <c r="A15" s="15" t="s">
        <v>42</v>
      </c>
      <c r="B15" s="86"/>
      <c r="C15" s="86"/>
      <c r="D15" s="86"/>
      <c r="E15" s="33"/>
      <c r="F15" s="91"/>
      <c r="G15" s="6">
        <f>(36017.3*36.74371)/1000000</f>
        <v>1.3234092261829999</v>
      </c>
      <c r="H15" s="13"/>
      <c r="I15" s="86"/>
      <c r="J15" s="6">
        <f>((5622561*0.907185)*36.74371)/1000000</f>
        <v>187.41875185697378</v>
      </c>
      <c r="K15" s="32"/>
      <c r="L15" s="6">
        <f>(7968849.1*36.74371)/1000000</f>
        <v>292.80508036416103</v>
      </c>
      <c r="M15" s="6"/>
      <c r="N15" s="13"/>
    </row>
    <row r="16" spans="1:23" ht="16.5" customHeight="1">
      <c r="A16" s="15" t="s">
        <v>43</v>
      </c>
      <c r="B16" s="86"/>
      <c r="C16" s="86"/>
      <c r="D16" s="86"/>
      <c r="E16" s="33"/>
      <c r="F16" s="91"/>
      <c r="G16" s="6">
        <f>(5893.9*36.74371)/1000000</f>
        <v>0.216563752369</v>
      </c>
      <c r="H16" s="13"/>
      <c r="I16" s="86"/>
      <c r="J16" s="6">
        <f>((5734398*0.907185)*36.74371)/1000000</f>
        <v>191.14665288844833</v>
      </c>
      <c r="K16" s="32"/>
      <c r="L16" s="6">
        <f>(8559125.5*36.74371)/1000000</f>
        <v>314.49402522560501</v>
      </c>
      <c r="M16" s="6"/>
      <c r="N16" s="13"/>
    </row>
    <row r="17" spans="1:24" ht="16.5" customHeight="1">
      <c r="A17" s="15" t="s">
        <v>44</v>
      </c>
      <c r="B17" s="86"/>
      <c r="C17" s="86"/>
      <c r="D17" s="86"/>
      <c r="E17" s="33"/>
      <c r="F17" s="91"/>
      <c r="G17" s="6">
        <f>(27761.8*36.7371)/1000000</f>
        <v>1.0198880227799998</v>
      </c>
      <c r="H17" s="13"/>
      <c r="I17" s="86"/>
      <c r="J17" s="6">
        <f>((5306995*0.907185)*36.74371)/1000000</f>
        <v>176.89988227983665</v>
      </c>
      <c r="K17" s="32"/>
      <c r="L17" s="6">
        <f>(5374314*36.74371)/1000000</f>
        <v>197.47223506494001</v>
      </c>
      <c r="M17" s="6"/>
      <c r="N17" s="13"/>
      <c r="Q17" s="89"/>
    </row>
    <row r="18" spans="1:24" ht="16.5" customHeight="1">
      <c r="A18" s="15" t="s">
        <v>45</v>
      </c>
      <c r="B18" s="86"/>
      <c r="C18" s="86"/>
      <c r="D18" s="86"/>
      <c r="E18" s="33">
        <f>N14</f>
        <v>3021.152</v>
      </c>
      <c r="F18" s="91"/>
      <c r="G18" s="6">
        <f>SUM(G15:G17)</f>
        <v>2.559861001332</v>
      </c>
      <c r="H18" s="13">
        <f>SUM(E18:G18)</f>
        <v>3023.7118610013322</v>
      </c>
      <c r="I18" s="86"/>
      <c r="J18" s="6">
        <f>SUM(J15:J17)</f>
        <v>555.46528702525882</v>
      </c>
      <c r="K18" s="32">
        <f>M18-L18-J18</f>
        <v>-23.156766678632721</v>
      </c>
      <c r="L18" s="6">
        <f>SUM(L15:L17)</f>
        <v>804.77134065470602</v>
      </c>
      <c r="M18" s="6">
        <f>H18-N18</f>
        <v>1337.0798610013321</v>
      </c>
      <c r="N18" s="13">
        <f>1686.632</f>
        <v>1686.6320000000001</v>
      </c>
      <c r="P18" s="35"/>
    </row>
    <row r="19" spans="1:24" ht="16.5" customHeight="1">
      <c r="A19" s="15" t="s">
        <v>46</v>
      </c>
      <c r="B19" s="86"/>
      <c r="C19" s="86"/>
      <c r="D19" s="86"/>
      <c r="E19" s="33"/>
      <c r="F19" s="91"/>
      <c r="G19" s="6">
        <f>(34752.6*36.74371)/1000000</f>
        <v>1.2769394561459999</v>
      </c>
      <c r="H19" s="13"/>
      <c r="I19" s="86"/>
      <c r="J19" s="6">
        <f>((5939012*0.907185)*36.74371)/1000000</f>
        <v>197.96712144227334</v>
      </c>
      <c r="K19" s="32"/>
      <c r="L19" s="6">
        <f>(3135729.4*36.74371)/1000000</f>
        <v>115.21833171207399</v>
      </c>
      <c r="M19" s="6"/>
      <c r="N19" s="13"/>
      <c r="Q19" s="89"/>
    </row>
    <row r="20" spans="1:24" ht="16.5" customHeight="1">
      <c r="A20" s="15" t="s">
        <v>47</v>
      </c>
      <c r="B20" s="86"/>
      <c r="C20" s="86"/>
      <c r="D20" s="86"/>
      <c r="E20" s="33"/>
      <c r="F20" s="91"/>
      <c r="G20" s="6">
        <f>(8485.3*36.74371)/1000000</f>
        <v>0.31178140246299996</v>
      </c>
      <c r="H20" s="13"/>
      <c r="I20" s="86"/>
      <c r="J20" s="6">
        <f>((5609607*0.907185)*36.74371)/1000000</f>
        <v>186.98695173749888</v>
      </c>
      <c r="K20" s="32"/>
      <c r="L20" s="6">
        <f>(2554266.9*36.74371)/1000000</f>
        <v>93.853242236198994</v>
      </c>
      <c r="M20" s="6"/>
      <c r="N20" s="13"/>
    </row>
    <row r="21" spans="1:24" ht="16.5" customHeight="1">
      <c r="A21" s="15" t="s">
        <v>48</v>
      </c>
      <c r="B21" s="86"/>
      <c r="C21" s="86"/>
      <c r="D21" s="86"/>
      <c r="E21" s="33"/>
      <c r="F21" s="91"/>
      <c r="G21" s="6">
        <f>(126995.3*36.74371)/1000000</f>
        <v>4.6662784745629997</v>
      </c>
      <c r="H21" s="13"/>
      <c r="I21" s="86"/>
      <c r="J21" s="6">
        <f>((5679096*0.907185)*36.74371)/1000000</f>
        <v>189.30325237839708</v>
      </c>
      <c r="K21" s="32"/>
      <c r="L21" s="6">
        <f>(986447.6*36.74371)/1000000</f>
        <v>36.245744544596</v>
      </c>
      <c r="M21" s="6"/>
      <c r="N21" s="13"/>
      <c r="P21" s="86"/>
      <c r="Q21" s="89"/>
    </row>
    <row r="22" spans="1:24" ht="16.5" customHeight="1">
      <c r="A22" s="15" t="s">
        <v>49</v>
      </c>
      <c r="B22" s="86"/>
      <c r="C22" s="86"/>
      <c r="D22" s="86"/>
      <c r="E22" s="33">
        <f>N18</f>
        <v>1686.6320000000001</v>
      </c>
      <c r="F22" s="91"/>
      <c r="G22" s="6">
        <f>SUM(G19:G21)</f>
        <v>6.254999333172</v>
      </c>
      <c r="H22" s="13">
        <f>SUM(E22:G22)</f>
        <v>1692.8869993331721</v>
      </c>
      <c r="I22" s="86"/>
      <c r="J22" s="6">
        <f>SUM(J19:J21)</f>
        <v>574.25732555816921</v>
      </c>
      <c r="K22" s="32">
        <f>M22-L22-J22</f>
        <v>76.924355282133774</v>
      </c>
      <c r="L22" s="6">
        <f>SUM(L19:L21)</f>
        <v>245.31731849286899</v>
      </c>
      <c r="M22" s="6">
        <f>H22-N22</f>
        <v>896.49899933317204</v>
      </c>
      <c r="N22" s="13">
        <v>796.38800000000003</v>
      </c>
      <c r="P22" s="86"/>
    </row>
    <row r="23" spans="1:24" ht="16.5" customHeight="1">
      <c r="A23" s="15" t="s">
        <v>50</v>
      </c>
      <c r="B23" s="86"/>
      <c r="C23" s="86"/>
      <c r="D23" s="86"/>
      <c r="E23" s="33"/>
      <c r="F23" s="91"/>
      <c r="G23" s="6">
        <f>(166679*36.744)/1000000</f>
        <v>6.1244531760000003</v>
      </c>
      <c r="H23" s="13"/>
      <c r="I23" s="86"/>
      <c r="J23" s="6">
        <f>((5236516*0.907185)*36.74371)/1000000</f>
        <v>174.55058162980768</v>
      </c>
      <c r="K23" s="32"/>
      <c r="L23" s="6">
        <f>(831037.3*36.74371)/1000000</f>
        <v>30.535393550383002</v>
      </c>
      <c r="M23" s="6"/>
      <c r="N23" s="13"/>
    </row>
    <row r="24" spans="1:24" ht="16.5" customHeight="1">
      <c r="A24" s="15" t="s">
        <v>51</v>
      </c>
      <c r="B24" s="86"/>
      <c r="C24" s="86"/>
      <c r="D24" s="86"/>
      <c r="E24" s="33"/>
      <c r="F24" s="91"/>
      <c r="G24" s="6">
        <f>(114325.1*36.74371)/1000000</f>
        <v>4.2007283201210006</v>
      </c>
      <c r="H24" s="13"/>
      <c r="I24" s="86"/>
      <c r="J24" s="6">
        <f>((5545001*0.907185)*36.74371)/1000000</f>
        <v>184.83341780830332</v>
      </c>
      <c r="K24" s="32"/>
      <c r="L24" s="6">
        <f>(1275803.3*36.74371)/1000000</f>
        <v>46.877746472243004</v>
      </c>
      <c r="M24" s="6"/>
      <c r="N24" s="13"/>
      <c r="Q24" s="89"/>
    </row>
    <row r="25" spans="1:24" ht="16.5" customHeight="1">
      <c r="A25" s="15" t="s">
        <v>52</v>
      </c>
      <c r="B25" s="86"/>
      <c r="C25" s="86"/>
      <c r="D25" s="86"/>
      <c r="E25" s="33"/>
      <c r="F25" s="91"/>
      <c r="G25" s="6">
        <f>(45519.5*36.74371)/1000000</f>
        <v>1.6725553073450001</v>
      </c>
      <c r="H25" s="13"/>
      <c r="I25" s="86"/>
      <c r="J25" s="6">
        <f>((5069870*0.907185)*36.74371)/1000000</f>
        <v>168.99571342616218</v>
      </c>
      <c r="K25" s="32"/>
      <c r="L25" s="6">
        <f>(1702563*36.74371)/1000000</f>
        <v>62.558481128730001</v>
      </c>
      <c r="M25" s="6"/>
      <c r="N25" s="13"/>
    </row>
    <row r="26" spans="1:24" ht="16.5" customHeight="1">
      <c r="A26" s="15" t="s">
        <v>53</v>
      </c>
      <c r="B26" s="86"/>
      <c r="C26" s="86"/>
      <c r="D26" s="86"/>
      <c r="E26" s="33">
        <f>N22</f>
        <v>796.38800000000003</v>
      </c>
      <c r="F26" s="91"/>
      <c r="G26" s="6">
        <f>SUM(G23:G25)</f>
        <v>11.997736803466001</v>
      </c>
      <c r="H26" s="13">
        <f>SUM(E26:G26)</f>
        <v>808.38573680346599</v>
      </c>
      <c r="I26" s="86"/>
      <c r="J26" s="6">
        <f>SUM(J23:J25)</f>
        <v>528.37971286427319</v>
      </c>
      <c r="K26" s="32">
        <f>M26-J26-L26</f>
        <v>-124.14959721216317</v>
      </c>
      <c r="L26" s="6">
        <f>SUM(L23:L25)</f>
        <v>139.971621151356</v>
      </c>
      <c r="M26" s="6">
        <f>H26-N26</f>
        <v>544.20173680346602</v>
      </c>
      <c r="N26" s="104">
        <v>264.18400000000003</v>
      </c>
    </row>
    <row r="27" spans="1:24" ht="16.5" customHeight="1">
      <c r="A27" s="15" t="s">
        <v>28</v>
      </c>
      <c r="B27" s="86"/>
      <c r="C27" s="86"/>
      <c r="D27" s="86"/>
      <c r="E27" s="33"/>
      <c r="F27" s="91"/>
      <c r="G27" s="103">
        <f>(667110.5*36.74371)/1000000</f>
        <v>24.512114749955</v>
      </c>
      <c r="H27" s="97"/>
      <c r="I27" s="98"/>
      <c r="J27" s="6">
        <f>SUM(J14,J18,J22,J26)</f>
        <v>2211.9384453555185</v>
      </c>
      <c r="K27" s="99"/>
      <c r="L27" s="6">
        <f>(54208355.3*36.74371)/1000000</f>
        <v>1991.816086720163</v>
      </c>
      <c r="M27" s="6"/>
      <c r="N27" s="13"/>
      <c r="Q27" s="89"/>
    </row>
    <row r="28" spans="1:24" ht="16.5" customHeight="1">
      <c r="A28" s="15"/>
      <c r="B28" s="86"/>
      <c r="C28" s="86"/>
      <c r="D28" s="86"/>
      <c r="E28" s="33"/>
      <c r="F28" s="33"/>
      <c r="G28" s="6"/>
      <c r="H28" s="13"/>
      <c r="I28" s="86"/>
      <c r="J28" s="13"/>
      <c r="K28" s="32"/>
      <c r="L28" s="6"/>
      <c r="M28" s="6"/>
      <c r="N28" s="13"/>
      <c r="R28" s="86"/>
    </row>
    <row r="29" spans="1:24" ht="16.5" customHeight="1">
      <c r="A29" s="31" t="s">
        <v>54</v>
      </c>
      <c r="B29" s="86"/>
      <c r="C29" s="86"/>
      <c r="D29" s="86"/>
      <c r="E29" s="33"/>
      <c r="F29" s="33"/>
      <c r="G29" s="6"/>
      <c r="H29" s="13"/>
      <c r="I29" s="86"/>
      <c r="J29" s="13"/>
      <c r="K29" s="32"/>
      <c r="L29" s="6"/>
      <c r="M29" s="6"/>
      <c r="N29" s="13"/>
      <c r="Q29" s="86"/>
      <c r="V29" s="101"/>
      <c r="X29" s="102"/>
    </row>
    <row r="30" spans="1:24" ht="16.5" customHeight="1">
      <c r="A30" s="15" t="s">
        <v>38</v>
      </c>
      <c r="B30" s="86"/>
      <c r="C30" s="86"/>
      <c r="D30" s="86"/>
      <c r="E30" s="33"/>
      <c r="F30" s="33"/>
      <c r="G30" s="6">
        <f>(37462.8*36.74371)/1000000</f>
        <v>1.3765222589880002</v>
      </c>
      <c r="H30" s="13"/>
      <c r="I30" s="86"/>
      <c r="J30" s="6">
        <f>((5242931*0.907185)*36.74371)/1000000</f>
        <v>174.76441502230665</v>
      </c>
      <c r="K30" s="32"/>
      <c r="L30" s="6">
        <f>(2471110*36.74371)/1000000</f>
        <v>90.797749218099995</v>
      </c>
      <c r="M30" s="6"/>
      <c r="N30" s="13"/>
      <c r="T30" s="100"/>
    </row>
    <row r="31" spans="1:24" ht="16.5" customHeight="1">
      <c r="A31" s="15" t="s">
        <v>39</v>
      </c>
      <c r="B31" s="86"/>
      <c r="C31" s="86"/>
      <c r="D31" s="86"/>
      <c r="E31" s="33"/>
      <c r="F31" s="33"/>
      <c r="G31" s="6">
        <f>(19548.9*36.74371)/1000000</f>
        <v>0.71829911241900002</v>
      </c>
      <c r="H31" s="13"/>
      <c r="I31" s="86"/>
      <c r="J31" s="6">
        <f>((6041685*0.907185)*36.74371)/1000000</f>
        <v>201.38955572256145</v>
      </c>
      <c r="K31" s="32"/>
      <c r="L31" s="6">
        <f>(9477743.2*36.74371)/1000000</f>
        <v>348.24744759527192</v>
      </c>
      <c r="M31" s="6"/>
      <c r="N31" s="13"/>
      <c r="T31" s="100"/>
    </row>
    <row r="32" spans="1:24" ht="16.5" customHeight="1">
      <c r="A32" s="15" t="s">
        <v>40</v>
      </c>
      <c r="B32" s="86"/>
      <c r="C32" s="86"/>
      <c r="D32" s="86"/>
      <c r="E32" s="33"/>
      <c r="F32" s="33"/>
      <c r="G32" s="6">
        <f>(46150.7*36.74371)/1000000</f>
        <v>1.6957479370969999</v>
      </c>
      <c r="H32" s="13"/>
      <c r="I32" s="86"/>
      <c r="J32" s="6">
        <f>((6002708*0.907185)*36.74371)/1000000</f>
        <v>200.09032202974259</v>
      </c>
      <c r="K32" s="32"/>
      <c r="L32" s="6">
        <f>(7463380.7*36.74371)/1000000</f>
        <v>274.232296060397</v>
      </c>
      <c r="M32" s="6"/>
      <c r="N32" s="114"/>
      <c r="T32" s="100"/>
    </row>
    <row r="33" spans="1:20" ht="16.5" customHeight="1">
      <c r="A33" s="15" t="s">
        <v>41</v>
      </c>
      <c r="B33" s="86"/>
      <c r="C33" s="86"/>
      <c r="D33" s="86"/>
      <c r="E33" s="33">
        <f>N26</f>
        <v>264.18400000000003</v>
      </c>
      <c r="F33" s="33">
        <v>4164.6769999999997</v>
      </c>
      <c r="G33" s="6">
        <f>SUM(G30:G32)</f>
        <v>3.7905693085040002</v>
      </c>
      <c r="H33" s="13">
        <f>SUM(E33:G33)</f>
        <v>4432.6515693085039</v>
      </c>
      <c r="I33" s="86"/>
      <c r="J33" s="6">
        <f>SUM(J30:J32)</f>
        <v>576.2442927746107</v>
      </c>
      <c r="K33" s="32">
        <f>M33-L33-J33</f>
        <v>143.18078366012412</v>
      </c>
      <c r="L33" s="6">
        <f>SUM(L30:L32)</f>
        <v>713.27749287376901</v>
      </c>
      <c r="M33" s="6">
        <f>H33-N33</f>
        <v>1432.7025693085038</v>
      </c>
      <c r="N33" s="120">
        <v>2999.9490000000001</v>
      </c>
      <c r="T33" s="100"/>
    </row>
    <row r="34" spans="1:20" ht="16.5" customHeight="1">
      <c r="A34" s="15" t="s">
        <v>42</v>
      </c>
      <c r="B34" s="86"/>
      <c r="C34" s="86"/>
      <c r="D34" s="86"/>
      <c r="E34" s="33"/>
      <c r="F34" s="33"/>
      <c r="G34" s="6">
        <f>(18657.9*36.74371)/1000000</f>
        <v>0.68556046680899996</v>
      </c>
      <c r="H34" s="13"/>
      <c r="I34" s="86"/>
      <c r="J34" s="6">
        <f>((6128558*0.907185)*36.74371)/1000000</f>
        <v>204.28532319045925</v>
      </c>
      <c r="K34" s="32"/>
      <c r="L34" s="6">
        <f>(4824464.6*36.74371)/1000000</f>
        <v>177.26872816766598</v>
      </c>
      <c r="M34" s="6"/>
      <c r="N34" s="120"/>
      <c r="T34" s="100"/>
    </row>
    <row r="35" spans="1:20" ht="16.5" customHeight="1">
      <c r="A35" s="15" t="s">
        <v>43</v>
      </c>
      <c r="B35" s="86"/>
      <c r="C35" s="86"/>
      <c r="D35" s="86"/>
      <c r="E35" s="33"/>
      <c r="F35" s="33"/>
      <c r="G35" s="6">
        <f>(25838.2*36.74371)/1000000</f>
        <v>0.94939132772200008</v>
      </c>
      <c r="H35" s="13"/>
      <c r="I35" s="86"/>
      <c r="J35" s="6">
        <f>((5844947*0.907185)*36.74371)/1000000</f>
        <v>194.83162057471029</v>
      </c>
      <c r="K35" s="32"/>
      <c r="L35" s="6">
        <f>(5961252*36.74371)/1000000</f>
        <v>219.03851472491999</v>
      </c>
      <c r="M35" s="6"/>
      <c r="N35" s="120"/>
      <c r="T35" s="100"/>
    </row>
    <row r="36" spans="1:20" ht="16.5" customHeight="1">
      <c r="A36" s="82" t="s">
        <v>55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83"/>
      <c r="M36" s="72"/>
      <c r="N36" s="72"/>
      <c r="T36" s="100"/>
    </row>
    <row r="37" spans="1:20" ht="16.5" customHeight="1">
      <c r="A37" s="15" t="s">
        <v>56</v>
      </c>
      <c r="B37" s="15"/>
      <c r="C37" s="15"/>
      <c r="D37" s="15"/>
      <c r="E37" s="36"/>
      <c r="F37" s="36"/>
      <c r="G37" s="36"/>
      <c r="H37" s="36"/>
      <c r="I37" s="36"/>
      <c r="J37" s="36"/>
      <c r="K37" s="36"/>
      <c r="L37" s="36"/>
      <c r="M37" s="36"/>
      <c r="N37" s="36"/>
      <c r="T37" s="100"/>
    </row>
    <row r="38" spans="1:20" ht="16.5" customHeight="1">
      <c r="A38" s="20" t="s">
        <v>57</v>
      </c>
      <c r="B38" s="37">
        <f>Contents!A16</f>
        <v>45363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T38" s="100"/>
    </row>
    <row r="39" spans="1:20" ht="16.5" customHeight="1">
      <c r="T39" s="100"/>
    </row>
    <row r="40" spans="1:20" ht="16.5" customHeight="1">
      <c r="K40" s="35"/>
      <c r="T40" s="100"/>
    </row>
    <row r="41" spans="1:20" ht="16.5" customHeight="1">
      <c r="K41" s="96"/>
      <c r="P41" s="35"/>
      <c r="T41" s="100"/>
    </row>
    <row r="42" spans="1:20" ht="16.5" customHeight="1">
      <c r="T42" s="100"/>
    </row>
    <row r="43" spans="1:20" ht="16.5" customHeight="1">
      <c r="J43" s="35"/>
      <c r="L43" s="35"/>
      <c r="T43" s="100"/>
    </row>
    <row r="44" spans="1:20" ht="16.5" customHeight="1">
      <c r="J44" s="35"/>
      <c r="L44" s="35"/>
      <c r="T44" s="100"/>
    </row>
    <row r="45" spans="1:20" ht="16.5" customHeight="1">
      <c r="J45" s="35"/>
      <c r="L45" s="35"/>
      <c r="T45" s="100"/>
    </row>
    <row r="46" spans="1:20" ht="16.5" customHeight="1">
      <c r="T46" s="100"/>
    </row>
    <row r="47" spans="1:20" ht="16.5" customHeight="1">
      <c r="T47" s="100"/>
    </row>
    <row r="48" spans="1:20" ht="16.5" customHeight="1">
      <c r="T48" s="100"/>
    </row>
    <row r="49" spans="15:73" ht="16.5" customHeight="1">
      <c r="T49" s="100"/>
    </row>
    <row r="50" spans="15:73" ht="16.5" customHeight="1"/>
    <row r="51" spans="15:73" ht="16.5" customHeight="1"/>
    <row r="52" spans="15:73" ht="16.5" customHeight="1"/>
    <row r="53" spans="15:73" ht="16.5" customHeight="1"/>
    <row r="54" spans="15:73" ht="16.5" customHeight="1">
      <c r="O54" s="86"/>
      <c r="P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</row>
    <row r="55" spans="15:73">
      <c r="O55" s="86"/>
      <c r="P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</row>
    <row r="56" spans="15:73">
      <c r="O56" s="86"/>
      <c r="P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</row>
    <row r="57" spans="15:73">
      <c r="O57" s="86"/>
      <c r="P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</row>
    <row r="58" spans="15:73">
      <c r="O58" s="86"/>
      <c r="P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</row>
    <row r="59" spans="15:73">
      <c r="O59" s="86"/>
      <c r="P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</row>
    <row r="60" spans="15:73">
      <c r="O60" s="86"/>
      <c r="P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</row>
    <row r="61" spans="15:73">
      <c r="O61" s="86"/>
      <c r="P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</row>
    <row r="62" spans="15:73">
      <c r="O62" s="86"/>
      <c r="P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</row>
    <row r="63" spans="15:73">
      <c r="O63" s="86"/>
      <c r="P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</row>
    <row r="64" spans="15:73">
      <c r="O64" s="86"/>
      <c r="P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</row>
    <row r="65" spans="15:73">
      <c r="O65" s="86"/>
      <c r="P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</row>
    <row r="66" spans="15:73">
      <c r="O66" s="86"/>
      <c r="P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</row>
    <row r="67" spans="15:73">
      <c r="O67" s="86"/>
      <c r="P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</row>
    <row r="68" spans="15:73">
      <c r="O68" s="86"/>
      <c r="P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</row>
    <row r="69" spans="15:73">
      <c r="O69" s="86"/>
      <c r="P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</row>
    <row r="70" spans="15:73">
      <c r="O70" s="86"/>
      <c r="P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</row>
    <row r="71" spans="15:73">
      <c r="O71" s="86"/>
      <c r="P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</row>
    <row r="72" spans="15:73">
      <c r="O72" s="86"/>
      <c r="P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</row>
    <row r="73" spans="15:73">
      <c r="O73" s="86"/>
      <c r="P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</row>
    <row r="74" spans="15:73">
      <c r="O74" s="86"/>
      <c r="P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</row>
    <row r="75" spans="15:73">
      <c r="O75" s="86"/>
      <c r="P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</row>
    <row r="76" spans="15:73">
      <c r="O76" s="86"/>
      <c r="P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</row>
    <row r="77" spans="15:73">
      <c r="O77" s="86"/>
      <c r="P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</row>
    <row r="78" spans="15:73">
      <c r="O78" s="86"/>
      <c r="P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</row>
    <row r="79" spans="15:73">
      <c r="O79" s="86"/>
      <c r="P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</row>
    <row r="80" spans="15:73">
      <c r="O80" s="86"/>
      <c r="P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</row>
    <row r="81" spans="15:73">
      <c r="O81" s="86"/>
      <c r="P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</row>
    <row r="82" spans="15:73"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</row>
    <row r="83" spans="15:73"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</row>
    <row r="84" spans="15:73"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</row>
    <row r="85" spans="15:73"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</row>
    <row r="86" spans="15:73"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</row>
    <row r="87" spans="15:73"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</row>
    <row r="88" spans="15:73"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</row>
    <row r="89" spans="15:73"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</row>
    <row r="90" spans="15:73"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</row>
    <row r="91" spans="15:73"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</row>
    <row r="92" spans="15:73"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</row>
    <row r="93" spans="15:73"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</row>
    <row r="94" spans="15:73"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</row>
    <row r="95" spans="15:73"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</row>
    <row r="96" spans="15:73"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</row>
    <row r="97" spans="15:73"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</row>
    <row r="98" spans="15:73"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</row>
    <row r="99" spans="15:73"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</row>
    <row r="100" spans="15:73"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</row>
    <row r="101" spans="15:73"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</row>
    <row r="102" spans="15:73"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</row>
    <row r="103" spans="15:73"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</row>
    <row r="104" spans="15:73"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</row>
    <row r="105" spans="15:73"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</row>
    <row r="106" spans="15:73"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</row>
    <row r="107" spans="15:73"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</row>
    <row r="108" spans="15:73"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</row>
    <row r="109" spans="15:73"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</row>
    <row r="110" spans="15:73"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</row>
    <row r="111" spans="15:73"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</row>
    <row r="112" spans="15:73"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</row>
    <row r="113" spans="15:73"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</row>
    <row r="114" spans="15:73"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</row>
    <row r="115" spans="15:73"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</row>
    <row r="116" spans="15:73"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</row>
    <row r="117" spans="15:73"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</row>
    <row r="118" spans="15:73"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</row>
    <row r="119" spans="15:73"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</row>
    <row r="120" spans="15:73"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</row>
    <row r="121" spans="15:73"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</row>
    <row r="122" spans="15:73"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</row>
    <row r="123" spans="15:73"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</row>
    <row r="124" spans="15:73"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</row>
    <row r="125" spans="15:73"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</row>
    <row r="126" spans="15:73"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</row>
    <row r="127" spans="15:73"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</row>
    <row r="128" spans="15:73"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</row>
    <row r="129" spans="15:73"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</row>
    <row r="130" spans="15:73"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</row>
    <row r="131" spans="15:73"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</row>
    <row r="132" spans="15:73"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</row>
    <row r="133" spans="15:73"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</row>
    <row r="134" spans="15:73"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</row>
    <row r="135" spans="15:73"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</row>
    <row r="136" spans="15:73"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</row>
    <row r="137" spans="15:73"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</row>
    <row r="138" spans="15:73"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</row>
    <row r="139" spans="15:73"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</row>
    <row r="140" spans="15:73"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</row>
    <row r="141" spans="15:73"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</row>
    <row r="142" spans="15:73"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</row>
    <row r="143" spans="15:73"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</row>
    <row r="144" spans="15:73"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</row>
    <row r="145" spans="15:73"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</row>
    <row r="146" spans="15:73"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</row>
    <row r="147" spans="15:73"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</row>
    <row r="148" spans="15:73"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</row>
    <row r="149" spans="15:73"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</row>
    <row r="150" spans="15:73"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</row>
    <row r="151" spans="15:73"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</row>
    <row r="152" spans="15:73"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</row>
    <row r="153" spans="15:73"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</row>
    <row r="154" spans="15:73"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</row>
    <row r="155" spans="15:73"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</row>
    <row r="156" spans="15:73"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</row>
    <row r="157" spans="15:73"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</row>
    <row r="158" spans="15:73"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</row>
    <row r="159" spans="15:73"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</row>
    <row r="160" spans="15:73"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</row>
    <row r="161" spans="15:73"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</row>
    <row r="162" spans="15:73"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</row>
    <row r="163" spans="15:73"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</row>
    <row r="164" spans="15:73"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</row>
    <row r="165" spans="15:73"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</row>
    <row r="166" spans="15:73"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</row>
    <row r="167" spans="15:73"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</row>
    <row r="168" spans="15:73"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</row>
    <row r="169" spans="15:73"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</row>
    <row r="170" spans="15:73"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</row>
    <row r="171" spans="15:73"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</row>
    <row r="172" spans="15:73"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</row>
    <row r="173" spans="15:73"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</row>
    <row r="174" spans="15:73"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</row>
    <row r="175" spans="15:73"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</row>
    <row r="176" spans="15:73"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</row>
    <row r="177" spans="15:73"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</row>
    <row r="178" spans="15:73"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</row>
    <row r="179" spans="15:73"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</row>
    <row r="180" spans="15:73"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</row>
    <row r="181" spans="15:73"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</row>
    <row r="182" spans="15:73"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</row>
    <row r="183" spans="15:73"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</row>
    <row r="184" spans="15:73"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</row>
    <row r="185" spans="15:73"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</row>
    <row r="186" spans="15:73"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</row>
    <row r="187" spans="15:73"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</row>
    <row r="188" spans="15:73"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</row>
    <row r="189" spans="15:73"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</row>
    <row r="190" spans="15:73"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</row>
    <row r="191" spans="15:73"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</row>
    <row r="192" spans="15:73"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</row>
    <row r="193" spans="15:73"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</row>
    <row r="194" spans="15:73"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</row>
    <row r="195" spans="15:73"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</row>
    <row r="196" spans="15:73"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</row>
    <row r="197" spans="15:73"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</row>
    <row r="198" spans="15:73"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</row>
    <row r="199" spans="15:73"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</row>
    <row r="200" spans="15:73"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</row>
    <row r="201" spans="15:73"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</row>
    <row r="202" spans="15:73"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</row>
    <row r="203" spans="15:73"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</row>
    <row r="204" spans="15:73"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</row>
    <row r="205" spans="15:73"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</row>
    <row r="206" spans="15:73"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</row>
    <row r="207" spans="15:73"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</row>
    <row r="208" spans="15:73"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</row>
    <row r="209" spans="15:73"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</row>
    <row r="210" spans="15:73"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</row>
    <row r="211" spans="15:73"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</row>
    <row r="212" spans="15:73"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</row>
    <row r="213" spans="15:73"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</row>
    <row r="214" spans="15:73"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</row>
    <row r="215" spans="15:73"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</row>
    <row r="216" spans="15:73"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</row>
    <row r="217" spans="15:73"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</row>
    <row r="218" spans="15:73"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</row>
    <row r="219" spans="15:73"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</row>
    <row r="220" spans="15:73"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</row>
    <row r="221" spans="15:73"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</row>
    <row r="222" spans="15:73"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</row>
    <row r="223" spans="15:73"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</row>
    <row r="224" spans="15:73"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</row>
    <row r="225" spans="15:73"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</row>
    <row r="226" spans="15:73"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</row>
    <row r="227" spans="15:73"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</row>
    <row r="228" spans="15:73"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</row>
    <row r="229" spans="15:73"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</row>
    <row r="230" spans="15:73"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</row>
    <row r="231" spans="15:73"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</row>
    <row r="232" spans="15:73"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</row>
    <row r="233" spans="15:73"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</row>
    <row r="234" spans="15:73"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</row>
    <row r="235" spans="15:73"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</row>
    <row r="236" spans="15:73"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</row>
    <row r="237" spans="15:73"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</row>
    <row r="238" spans="15:73"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</row>
    <row r="239" spans="15:73"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</row>
    <row r="240" spans="15:73"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</row>
    <row r="241" spans="15:73"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</row>
    <row r="242" spans="15:73"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</row>
    <row r="243" spans="15:73"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</row>
    <row r="244" spans="15:73"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</row>
    <row r="245" spans="15:73"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</row>
    <row r="246" spans="15:73"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</row>
    <row r="247" spans="15:73"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</row>
    <row r="248" spans="15:73"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</row>
    <row r="249" spans="15:73"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</row>
    <row r="250" spans="15:73"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</row>
    <row r="251" spans="15:73"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</row>
    <row r="252" spans="15:73"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</row>
    <row r="253" spans="15:73"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</row>
    <row r="254" spans="15:73"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</row>
    <row r="255" spans="15:73"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</row>
    <row r="256" spans="15:73"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</row>
    <row r="257" spans="15:73"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</row>
    <row r="258" spans="15:73"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</row>
    <row r="259" spans="15:73"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</row>
    <row r="260" spans="15:73"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</row>
    <row r="261" spans="15:73"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</row>
    <row r="262" spans="15:73"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</row>
    <row r="263" spans="15:73"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</row>
    <row r="264" spans="15:73"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</row>
    <row r="265" spans="15:73"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</row>
    <row r="266" spans="15:73"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</row>
    <row r="267" spans="15:73"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</row>
    <row r="268" spans="15:73"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</row>
    <row r="269" spans="15:73"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</row>
    <row r="270" spans="15:73"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</row>
    <row r="271" spans="15:73"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</row>
    <row r="272" spans="15:73"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</row>
    <row r="273" spans="15:73"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</row>
    <row r="274" spans="15:73"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</row>
    <row r="275" spans="15:73"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</row>
    <row r="276" spans="15:73"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</row>
    <row r="277" spans="15:73"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</row>
    <row r="278" spans="15:73"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</row>
    <row r="279" spans="15:73"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</row>
    <row r="280" spans="15:73"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</row>
    <row r="281" spans="15:73"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</row>
    <row r="282" spans="15:73"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</row>
    <row r="283" spans="15:73"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</row>
    <row r="284" spans="15:73"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</row>
    <row r="285" spans="15:73"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</row>
    <row r="286" spans="15:73"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</row>
    <row r="287" spans="15:73"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</row>
    <row r="288" spans="15:73"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</row>
    <row r="289" spans="15:73"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</row>
    <row r="290" spans="15:73"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</row>
    <row r="291" spans="15:73"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</row>
    <row r="292" spans="15:73"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</row>
    <row r="293" spans="15:73"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</row>
    <row r="294" spans="15:73"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</row>
    <row r="295" spans="15:73"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</row>
    <row r="296" spans="15:73"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</row>
    <row r="297" spans="15:73"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</row>
    <row r="298" spans="15:73"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</row>
    <row r="299" spans="15:73"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</row>
    <row r="300" spans="15:73"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</row>
    <row r="301" spans="15:73"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</row>
    <row r="302" spans="15:73"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</row>
    <row r="303" spans="15:73"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</row>
    <row r="304" spans="15:73"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</row>
    <row r="305" spans="15:73"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</row>
    <row r="306" spans="15:73"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</row>
    <row r="307" spans="15:73"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</row>
    <row r="308" spans="15:73"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</row>
    <row r="309" spans="15:73"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</row>
    <row r="310" spans="15:73"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  <c r="BT310" s="86"/>
      <c r="BU310" s="86"/>
    </row>
    <row r="311" spans="15:73"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</row>
    <row r="312" spans="15:73"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</row>
    <row r="313" spans="15:73"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</row>
    <row r="314" spans="15:73"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</row>
    <row r="315" spans="15:73"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</row>
    <row r="316" spans="15:73"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</row>
    <row r="317" spans="15:73"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</row>
    <row r="318" spans="15:73"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  <c r="BT318" s="86"/>
      <c r="BU318" s="86"/>
    </row>
    <row r="319" spans="15:73"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</row>
    <row r="320" spans="15:73"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</row>
    <row r="321" spans="15:73"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</row>
    <row r="322" spans="15:73"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6"/>
      <c r="BQ322" s="86"/>
      <c r="BR322" s="86"/>
      <c r="BS322" s="86"/>
      <c r="BT322" s="86"/>
      <c r="BU322" s="86"/>
    </row>
    <row r="323" spans="15:73"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6"/>
      <c r="BQ323" s="86"/>
      <c r="BR323" s="86"/>
      <c r="BS323" s="86"/>
      <c r="BT323" s="86"/>
      <c r="BU323" s="86"/>
    </row>
    <row r="324" spans="15:73"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  <c r="AY324" s="86"/>
      <c r="AZ324" s="86"/>
      <c r="BA324" s="86"/>
      <c r="BB324" s="86"/>
      <c r="BC324" s="86"/>
      <c r="BD324" s="86"/>
      <c r="BE324" s="86"/>
      <c r="BF324" s="86"/>
      <c r="BG324" s="86"/>
      <c r="BH324" s="86"/>
      <c r="BI324" s="86"/>
      <c r="BJ324" s="86"/>
      <c r="BK324" s="86"/>
      <c r="BL324" s="86"/>
      <c r="BM324" s="86"/>
      <c r="BN324" s="86"/>
      <c r="BO324" s="86"/>
      <c r="BP324" s="86"/>
      <c r="BQ324" s="86"/>
      <c r="BR324" s="86"/>
      <c r="BS324" s="86"/>
      <c r="BT324" s="86"/>
      <c r="BU324" s="86"/>
    </row>
    <row r="325" spans="15:73"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  <c r="BA325" s="86"/>
      <c r="BB325" s="86"/>
      <c r="BC325" s="86"/>
      <c r="BD325" s="86"/>
      <c r="BE325" s="86"/>
      <c r="BF325" s="86"/>
      <c r="BG325" s="86"/>
      <c r="BH325" s="86"/>
      <c r="BI325" s="86"/>
      <c r="BJ325" s="86"/>
      <c r="BK325" s="86"/>
      <c r="BL325" s="86"/>
      <c r="BM325" s="86"/>
      <c r="BN325" s="86"/>
      <c r="BO325" s="86"/>
      <c r="BP325" s="86"/>
      <c r="BQ325" s="86"/>
      <c r="BR325" s="86"/>
      <c r="BS325" s="86"/>
      <c r="BT325" s="86"/>
      <c r="BU325" s="86"/>
    </row>
    <row r="326" spans="15:73"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6"/>
      <c r="BC326" s="86"/>
      <c r="BD326" s="86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6"/>
      <c r="BQ326" s="86"/>
      <c r="BR326" s="86"/>
      <c r="BS326" s="86"/>
      <c r="BT326" s="86"/>
      <c r="BU326" s="86"/>
    </row>
    <row r="327" spans="15:73"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6"/>
      <c r="BQ327" s="86"/>
      <c r="BR327" s="86"/>
      <c r="BS327" s="86"/>
      <c r="BT327" s="86"/>
      <c r="BU327" s="86"/>
    </row>
    <row r="328" spans="15:73"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6"/>
      <c r="BQ328" s="86"/>
      <c r="BR328" s="86"/>
      <c r="BS328" s="86"/>
      <c r="BT328" s="86"/>
      <c r="BU328" s="86"/>
    </row>
    <row r="329" spans="15:73"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6"/>
      <c r="BB329" s="86"/>
      <c r="BC329" s="86"/>
      <c r="BD329" s="86"/>
      <c r="BE329" s="86"/>
      <c r="BF329" s="86"/>
      <c r="BG329" s="86"/>
      <c r="BH329" s="86"/>
      <c r="BI329" s="86"/>
      <c r="BJ329" s="86"/>
      <c r="BK329" s="86"/>
      <c r="BL329" s="86"/>
      <c r="BM329" s="86"/>
      <c r="BN329" s="86"/>
      <c r="BO329" s="86"/>
      <c r="BP329" s="86"/>
      <c r="BQ329" s="86"/>
      <c r="BR329" s="86"/>
      <c r="BS329" s="86"/>
      <c r="BT329" s="86"/>
      <c r="BU329" s="86"/>
    </row>
    <row r="330" spans="15:73"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  <c r="BA330" s="86"/>
      <c r="BB330" s="86"/>
      <c r="BC330" s="86"/>
      <c r="BD330" s="86"/>
      <c r="BE330" s="86"/>
      <c r="BF330" s="86"/>
      <c r="BG330" s="86"/>
      <c r="BH330" s="86"/>
      <c r="BI330" s="86"/>
      <c r="BJ330" s="86"/>
      <c r="BK330" s="86"/>
      <c r="BL330" s="86"/>
      <c r="BM330" s="86"/>
      <c r="BN330" s="86"/>
      <c r="BO330" s="86"/>
      <c r="BP330" s="86"/>
      <c r="BQ330" s="86"/>
      <c r="BR330" s="86"/>
      <c r="BS330" s="86"/>
      <c r="BT330" s="86"/>
      <c r="BU330" s="86"/>
    </row>
    <row r="331" spans="15:73"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6"/>
      <c r="BC331" s="86"/>
      <c r="BD331" s="86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  <c r="BO331" s="86"/>
      <c r="BP331" s="86"/>
      <c r="BQ331" s="86"/>
      <c r="BR331" s="86"/>
      <c r="BS331" s="86"/>
      <c r="BT331" s="86"/>
      <c r="BU331" s="86"/>
    </row>
    <row r="332" spans="15:73"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  <c r="AZ332" s="86"/>
      <c r="BA332" s="86"/>
      <c r="BB332" s="86"/>
      <c r="BC332" s="86"/>
      <c r="BD332" s="86"/>
      <c r="BE332" s="86"/>
      <c r="BF332" s="86"/>
      <c r="BG332" s="86"/>
      <c r="BH332" s="86"/>
      <c r="BI332" s="86"/>
      <c r="BJ332" s="86"/>
      <c r="BK332" s="86"/>
      <c r="BL332" s="86"/>
      <c r="BM332" s="86"/>
      <c r="BN332" s="86"/>
      <c r="BO332" s="86"/>
      <c r="BP332" s="86"/>
      <c r="BQ332" s="86"/>
      <c r="BR332" s="86"/>
      <c r="BS332" s="86"/>
      <c r="BT332" s="86"/>
      <c r="BU332" s="86"/>
    </row>
    <row r="333" spans="15:73"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6"/>
      <c r="BQ333" s="86"/>
      <c r="BR333" s="86"/>
      <c r="BS333" s="86"/>
      <c r="BT333" s="86"/>
      <c r="BU333" s="86"/>
    </row>
    <row r="334" spans="15:73"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  <c r="BA334" s="86"/>
      <c r="BB334" s="86"/>
      <c r="BC334" s="86"/>
      <c r="BD334" s="86"/>
      <c r="BE334" s="86"/>
      <c r="BF334" s="86"/>
      <c r="BG334" s="86"/>
      <c r="BH334" s="86"/>
      <c r="BI334" s="86"/>
      <c r="BJ334" s="86"/>
      <c r="BK334" s="86"/>
      <c r="BL334" s="86"/>
      <c r="BM334" s="86"/>
      <c r="BN334" s="86"/>
      <c r="BO334" s="86"/>
      <c r="BP334" s="86"/>
      <c r="BQ334" s="86"/>
      <c r="BR334" s="86"/>
      <c r="BS334" s="86"/>
      <c r="BT334" s="86"/>
      <c r="BU334" s="86"/>
    </row>
    <row r="335" spans="15:73"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6"/>
      <c r="BQ335" s="86"/>
      <c r="BR335" s="86"/>
      <c r="BS335" s="86"/>
      <c r="BT335" s="86"/>
      <c r="BU335" s="86"/>
    </row>
    <row r="336" spans="15:73"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  <c r="AY336" s="86"/>
      <c r="AZ336" s="86"/>
      <c r="BA336" s="86"/>
      <c r="BB336" s="86"/>
      <c r="BC336" s="86"/>
      <c r="BD336" s="86"/>
      <c r="BE336" s="86"/>
      <c r="BF336" s="86"/>
      <c r="BG336" s="86"/>
      <c r="BH336" s="86"/>
      <c r="BI336" s="86"/>
      <c r="BJ336" s="86"/>
      <c r="BK336" s="86"/>
      <c r="BL336" s="86"/>
      <c r="BM336" s="86"/>
      <c r="BN336" s="86"/>
      <c r="BO336" s="86"/>
      <c r="BP336" s="86"/>
      <c r="BQ336" s="86"/>
      <c r="BR336" s="86"/>
      <c r="BS336" s="86"/>
      <c r="BT336" s="86"/>
      <c r="BU336" s="86"/>
    </row>
    <row r="337" spans="15:73"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  <c r="AZ337" s="86"/>
      <c r="BA337" s="86"/>
      <c r="BB337" s="86"/>
      <c r="BC337" s="86"/>
      <c r="BD337" s="86"/>
      <c r="BE337" s="86"/>
      <c r="BF337" s="86"/>
      <c r="BG337" s="86"/>
      <c r="BH337" s="86"/>
      <c r="BI337" s="86"/>
      <c r="BJ337" s="86"/>
      <c r="BK337" s="86"/>
      <c r="BL337" s="86"/>
      <c r="BM337" s="86"/>
      <c r="BN337" s="86"/>
      <c r="BO337" s="86"/>
      <c r="BP337" s="86"/>
      <c r="BQ337" s="86"/>
      <c r="BR337" s="86"/>
      <c r="BS337" s="86"/>
      <c r="BT337" s="86"/>
      <c r="BU337" s="86"/>
    </row>
    <row r="338" spans="15:73"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  <c r="BJ338" s="86"/>
      <c r="BK338" s="86"/>
      <c r="BL338" s="86"/>
      <c r="BM338" s="86"/>
      <c r="BN338" s="86"/>
      <c r="BO338" s="86"/>
      <c r="BP338" s="86"/>
      <c r="BQ338" s="86"/>
      <c r="BR338" s="86"/>
      <c r="BS338" s="86"/>
      <c r="BT338" s="86"/>
      <c r="BU338" s="86"/>
    </row>
    <row r="339" spans="15:73"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</row>
    <row r="340" spans="15:73"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6"/>
      <c r="BQ340" s="86"/>
      <c r="BR340" s="86"/>
      <c r="BS340" s="86"/>
      <c r="BT340" s="86"/>
      <c r="BU340" s="86"/>
    </row>
    <row r="341" spans="15:73"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86"/>
      <c r="AY341" s="86"/>
      <c r="AZ341" s="86"/>
      <c r="BA341" s="86"/>
      <c r="BB341" s="86"/>
      <c r="BC341" s="86"/>
      <c r="BD341" s="86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6"/>
      <c r="BQ341" s="86"/>
      <c r="BR341" s="86"/>
      <c r="BS341" s="86"/>
      <c r="BT341" s="86"/>
      <c r="BU341" s="86"/>
    </row>
    <row r="342" spans="15:73"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6"/>
      <c r="BQ342" s="86"/>
      <c r="BR342" s="86"/>
      <c r="BS342" s="86"/>
      <c r="BT342" s="86"/>
      <c r="BU342" s="86"/>
    </row>
    <row r="343" spans="15:73"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  <c r="AZ343" s="86"/>
      <c r="BA343" s="86"/>
      <c r="BB343" s="86"/>
      <c r="BC343" s="86"/>
      <c r="BD343" s="86"/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6"/>
      <c r="BQ343" s="86"/>
      <c r="BR343" s="86"/>
      <c r="BS343" s="86"/>
      <c r="BT343" s="86"/>
      <c r="BU343" s="86"/>
    </row>
    <row r="344" spans="15:73"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  <c r="AY344" s="86"/>
      <c r="AZ344" s="86"/>
      <c r="BA344" s="86"/>
      <c r="BB344" s="86"/>
      <c r="BC344" s="86"/>
      <c r="BD344" s="86"/>
      <c r="BE344" s="86"/>
      <c r="BF344" s="86"/>
      <c r="BG344" s="86"/>
      <c r="BH344" s="86"/>
      <c r="BI344" s="86"/>
      <c r="BJ344" s="86"/>
      <c r="BK344" s="86"/>
      <c r="BL344" s="86"/>
      <c r="BM344" s="86"/>
      <c r="BN344" s="86"/>
      <c r="BO344" s="86"/>
      <c r="BP344" s="86"/>
      <c r="BQ344" s="86"/>
      <c r="BR344" s="86"/>
      <c r="BS344" s="86"/>
      <c r="BT344" s="86"/>
      <c r="BU344" s="86"/>
    </row>
    <row r="345" spans="15:73"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86"/>
      <c r="AY345" s="86"/>
      <c r="AZ345" s="86"/>
      <c r="BA345" s="86"/>
      <c r="BB345" s="86"/>
      <c r="BC345" s="86"/>
      <c r="BD345" s="86"/>
      <c r="BE345" s="86"/>
      <c r="BF345" s="86"/>
      <c r="BG345" s="86"/>
      <c r="BH345" s="86"/>
      <c r="BI345" s="86"/>
      <c r="BJ345" s="86"/>
      <c r="BK345" s="86"/>
      <c r="BL345" s="86"/>
      <c r="BM345" s="86"/>
      <c r="BN345" s="86"/>
      <c r="BO345" s="86"/>
      <c r="BP345" s="86"/>
      <c r="BQ345" s="86"/>
      <c r="BR345" s="86"/>
      <c r="BS345" s="86"/>
      <c r="BT345" s="86"/>
      <c r="BU345" s="86"/>
    </row>
    <row r="346" spans="15:73"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86"/>
      <c r="AY346" s="86"/>
      <c r="AZ346" s="86"/>
      <c r="BA346" s="86"/>
      <c r="BB346" s="86"/>
      <c r="BC346" s="86"/>
      <c r="BD346" s="86"/>
      <c r="BE346" s="86"/>
      <c r="BF346" s="86"/>
      <c r="BG346" s="86"/>
      <c r="BH346" s="86"/>
      <c r="BI346" s="86"/>
      <c r="BJ346" s="86"/>
      <c r="BK346" s="86"/>
      <c r="BL346" s="86"/>
      <c r="BM346" s="86"/>
      <c r="BN346" s="86"/>
      <c r="BO346" s="86"/>
      <c r="BP346" s="86"/>
      <c r="BQ346" s="86"/>
      <c r="BR346" s="86"/>
      <c r="BS346" s="86"/>
      <c r="BT346" s="86"/>
      <c r="BU346" s="86"/>
    </row>
    <row r="347" spans="15:73"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6"/>
      <c r="BQ347" s="86"/>
      <c r="BR347" s="86"/>
      <c r="BS347" s="86"/>
      <c r="BT347" s="86"/>
      <c r="BU347" s="86"/>
    </row>
    <row r="348" spans="15:73"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86"/>
      <c r="AY348" s="86"/>
      <c r="AZ348" s="86"/>
      <c r="BA348" s="86"/>
      <c r="BB348" s="86"/>
      <c r="BC348" s="86"/>
      <c r="BD348" s="86"/>
      <c r="BE348" s="86"/>
      <c r="BF348" s="86"/>
      <c r="BG348" s="86"/>
      <c r="BH348" s="86"/>
      <c r="BI348" s="86"/>
      <c r="BJ348" s="86"/>
      <c r="BK348" s="86"/>
      <c r="BL348" s="86"/>
      <c r="BM348" s="86"/>
      <c r="BN348" s="86"/>
      <c r="BO348" s="86"/>
      <c r="BP348" s="86"/>
      <c r="BQ348" s="86"/>
      <c r="BR348" s="86"/>
      <c r="BS348" s="86"/>
      <c r="BT348" s="86"/>
      <c r="BU348" s="86"/>
    </row>
    <row r="349" spans="15:73"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86"/>
      <c r="AY349" s="86"/>
      <c r="AZ349" s="86"/>
      <c r="BA349" s="86"/>
      <c r="BB349" s="86"/>
      <c r="BC349" s="86"/>
      <c r="BD349" s="86"/>
      <c r="BE349" s="86"/>
      <c r="BF349" s="86"/>
      <c r="BG349" s="86"/>
      <c r="BH349" s="86"/>
      <c r="BI349" s="86"/>
      <c r="BJ349" s="86"/>
      <c r="BK349" s="86"/>
      <c r="BL349" s="86"/>
      <c r="BM349" s="86"/>
      <c r="BN349" s="86"/>
      <c r="BO349" s="86"/>
      <c r="BP349" s="86"/>
      <c r="BQ349" s="86"/>
      <c r="BR349" s="86"/>
      <c r="BS349" s="86"/>
      <c r="BT349" s="86"/>
      <c r="BU349" s="86"/>
    </row>
    <row r="350" spans="15:73"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86"/>
      <c r="AY350" s="86"/>
      <c r="AZ350" s="86"/>
      <c r="BA350" s="86"/>
      <c r="BB350" s="86"/>
      <c r="BC350" s="86"/>
      <c r="BD350" s="86"/>
      <c r="BE350" s="86"/>
      <c r="BF350" s="86"/>
      <c r="BG350" s="86"/>
      <c r="BH350" s="86"/>
      <c r="BI350" s="86"/>
      <c r="BJ350" s="86"/>
      <c r="BK350" s="86"/>
      <c r="BL350" s="86"/>
      <c r="BM350" s="86"/>
      <c r="BN350" s="86"/>
      <c r="BO350" s="86"/>
      <c r="BP350" s="86"/>
      <c r="BQ350" s="86"/>
      <c r="BR350" s="86"/>
      <c r="BS350" s="86"/>
      <c r="BT350" s="86"/>
      <c r="BU350" s="86"/>
    </row>
    <row r="351" spans="15:73"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  <c r="AY351" s="86"/>
      <c r="AZ351" s="86"/>
      <c r="BA351" s="86"/>
      <c r="BB351" s="86"/>
      <c r="BC351" s="86"/>
      <c r="BD351" s="86"/>
      <c r="BE351" s="86"/>
      <c r="BF351" s="86"/>
      <c r="BG351" s="86"/>
      <c r="BH351" s="86"/>
      <c r="BI351" s="86"/>
      <c r="BJ351" s="86"/>
      <c r="BK351" s="86"/>
      <c r="BL351" s="86"/>
      <c r="BM351" s="86"/>
      <c r="BN351" s="86"/>
      <c r="BO351" s="86"/>
      <c r="BP351" s="86"/>
      <c r="BQ351" s="86"/>
      <c r="BR351" s="86"/>
      <c r="BS351" s="86"/>
      <c r="BT351" s="86"/>
      <c r="BU351" s="86"/>
    </row>
    <row r="352" spans="15:73"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  <c r="BA352" s="86"/>
      <c r="BB352" s="86"/>
      <c r="BC352" s="86"/>
      <c r="BD352" s="86"/>
      <c r="BE352" s="86"/>
      <c r="BF352" s="86"/>
      <c r="BG352" s="86"/>
      <c r="BH352" s="86"/>
      <c r="BI352" s="86"/>
      <c r="BJ352" s="86"/>
      <c r="BK352" s="86"/>
      <c r="BL352" s="86"/>
      <c r="BM352" s="86"/>
      <c r="BN352" s="86"/>
      <c r="BO352" s="86"/>
      <c r="BP352" s="86"/>
      <c r="BQ352" s="86"/>
      <c r="BR352" s="86"/>
      <c r="BS352" s="86"/>
      <c r="BT352" s="86"/>
      <c r="BU352" s="86"/>
    </row>
    <row r="353" spans="15:73"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  <c r="BA353" s="86"/>
      <c r="BB353" s="86"/>
      <c r="BC353" s="86"/>
      <c r="BD353" s="86"/>
      <c r="BE353" s="86"/>
      <c r="BF353" s="86"/>
      <c r="BG353" s="86"/>
      <c r="BH353" s="86"/>
      <c r="BI353" s="86"/>
      <c r="BJ353" s="86"/>
      <c r="BK353" s="86"/>
      <c r="BL353" s="86"/>
      <c r="BM353" s="86"/>
      <c r="BN353" s="86"/>
      <c r="BO353" s="86"/>
      <c r="BP353" s="86"/>
      <c r="BQ353" s="86"/>
      <c r="BR353" s="86"/>
      <c r="BS353" s="86"/>
      <c r="BT353" s="86"/>
      <c r="BU353" s="86"/>
    </row>
    <row r="354" spans="15:73"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  <c r="AY354" s="86"/>
      <c r="AZ354" s="86"/>
      <c r="BA354" s="86"/>
      <c r="BB354" s="86"/>
      <c r="BC354" s="86"/>
      <c r="BD354" s="86"/>
      <c r="BE354" s="86"/>
      <c r="BF354" s="86"/>
      <c r="BG354" s="86"/>
      <c r="BH354" s="86"/>
      <c r="BI354" s="86"/>
      <c r="BJ354" s="86"/>
      <c r="BK354" s="86"/>
      <c r="BL354" s="86"/>
      <c r="BM354" s="86"/>
      <c r="BN354" s="86"/>
      <c r="BO354" s="86"/>
      <c r="BP354" s="86"/>
      <c r="BQ354" s="86"/>
      <c r="BR354" s="86"/>
      <c r="BS354" s="86"/>
      <c r="BT354" s="86"/>
      <c r="BU354" s="86"/>
    </row>
    <row r="355" spans="15:73"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  <c r="AY355" s="86"/>
      <c r="AZ355" s="86"/>
      <c r="BA355" s="86"/>
      <c r="BB355" s="86"/>
      <c r="BC355" s="86"/>
      <c r="BD355" s="86"/>
      <c r="BE355" s="86"/>
      <c r="BF355" s="86"/>
      <c r="BG355" s="86"/>
      <c r="BH355" s="86"/>
      <c r="BI355" s="86"/>
      <c r="BJ355" s="86"/>
      <c r="BK355" s="86"/>
      <c r="BL355" s="86"/>
      <c r="BM355" s="86"/>
      <c r="BN355" s="86"/>
      <c r="BO355" s="86"/>
      <c r="BP355" s="86"/>
      <c r="BQ355" s="86"/>
      <c r="BR355" s="86"/>
      <c r="BS355" s="86"/>
      <c r="BT355" s="86"/>
      <c r="BU355" s="86"/>
    </row>
    <row r="356" spans="15:73"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86"/>
      <c r="AY356" s="86"/>
      <c r="AZ356" s="86"/>
      <c r="BA356" s="86"/>
      <c r="BB356" s="86"/>
      <c r="BC356" s="86"/>
      <c r="BD356" s="86"/>
      <c r="BE356" s="86"/>
      <c r="BF356" s="86"/>
      <c r="BG356" s="86"/>
      <c r="BH356" s="86"/>
      <c r="BI356" s="86"/>
      <c r="BJ356" s="86"/>
      <c r="BK356" s="86"/>
      <c r="BL356" s="86"/>
      <c r="BM356" s="86"/>
      <c r="BN356" s="86"/>
      <c r="BO356" s="86"/>
      <c r="BP356" s="86"/>
      <c r="BQ356" s="86"/>
      <c r="BR356" s="86"/>
      <c r="BS356" s="86"/>
      <c r="BT356" s="86"/>
      <c r="BU356" s="86"/>
    </row>
    <row r="357" spans="15:73"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86"/>
      <c r="AY357" s="86"/>
      <c r="AZ357" s="86"/>
      <c r="BA357" s="86"/>
      <c r="BB357" s="86"/>
      <c r="BC357" s="86"/>
      <c r="BD357" s="86"/>
      <c r="BE357" s="86"/>
      <c r="BF357" s="86"/>
      <c r="BG357" s="86"/>
      <c r="BH357" s="86"/>
      <c r="BI357" s="86"/>
      <c r="BJ357" s="86"/>
      <c r="BK357" s="86"/>
      <c r="BL357" s="86"/>
      <c r="BM357" s="86"/>
      <c r="BN357" s="86"/>
      <c r="BO357" s="86"/>
      <c r="BP357" s="86"/>
      <c r="BQ357" s="86"/>
      <c r="BR357" s="86"/>
      <c r="BS357" s="86"/>
      <c r="BT357" s="86"/>
      <c r="BU357" s="86"/>
    </row>
    <row r="358" spans="15:73"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86"/>
      <c r="AY358" s="86"/>
      <c r="AZ358" s="86"/>
      <c r="BA358" s="86"/>
      <c r="BB358" s="86"/>
      <c r="BC358" s="86"/>
      <c r="BD358" s="86"/>
      <c r="BE358" s="86"/>
      <c r="BF358" s="86"/>
      <c r="BG358" s="86"/>
      <c r="BH358" s="86"/>
      <c r="BI358" s="86"/>
      <c r="BJ358" s="86"/>
      <c r="BK358" s="86"/>
      <c r="BL358" s="86"/>
      <c r="BM358" s="86"/>
      <c r="BN358" s="86"/>
      <c r="BO358" s="86"/>
      <c r="BP358" s="86"/>
      <c r="BQ358" s="86"/>
      <c r="BR358" s="86"/>
      <c r="BS358" s="86"/>
      <c r="BT358" s="86"/>
      <c r="BU358" s="86"/>
    </row>
    <row r="359" spans="15:73"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6"/>
      <c r="BQ359" s="86"/>
      <c r="BR359" s="86"/>
      <c r="BS359" s="86"/>
      <c r="BT359" s="86"/>
      <c r="BU359" s="86"/>
    </row>
    <row r="360" spans="15:73"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86"/>
      <c r="AY360" s="86"/>
      <c r="AZ360" s="86"/>
      <c r="BA360" s="86"/>
      <c r="BB360" s="86"/>
      <c r="BC360" s="86"/>
      <c r="BD360" s="86"/>
      <c r="BE360" s="86"/>
      <c r="BF360" s="86"/>
      <c r="BG360" s="86"/>
      <c r="BH360" s="86"/>
      <c r="BI360" s="86"/>
      <c r="BJ360" s="86"/>
      <c r="BK360" s="86"/>
      <c r="BL360" s="86"/>
      <c r="BM360" s="86"/>
      <c r="BN360" s="86"/>
      <c r="BO360" s="86"/>
      <c r="BP360" s="86"/>
      <c r="BQ360" s="86"/>
      <c r="BR360" s="86"/>
      <c r="BS360" s="86"/>
      <c r="BT360" s="86"/>
      <c r="BU360" s="86"/>
    </row>
    <row r="361" spans="15:73"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86"/>
      <c r="BJ361" s="86"/>
      <c r="BK361" s="86"/>
      <c r="BL361" s="86"/>
      <c r="BM361" s="86"/>
      <c r="BN361" s="86"/>
      <c r="BO361" s="86"/>
      <c r="BP361" s="86"/>
      <c r="BQ361" s="86"/>
      <c r="BR361" s="86"/>
      <c r="BS361" s="86"/>
      <c r="BT361" s="86"/>
      <c r="BU361" s="86"/>
    </row>
    <row r="362" spans="15:73"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</row>
    <row r="363" spans="15:73"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86"/>
      <c r="AY363" s="86"/>
      <c r="AZ363" s="86"/>
      <c r="BA363" s="86"/>
      <c r="BB363" s="86"/>
      <c r="BC363" s="86"/>
      <c r="BD363" s="86"/>
      <c r="BE363" s="86"/>
      <c r="BF363" s="86"/>
      <c r="BG363" s="86"/>
      <c r="BH363" s="86"/>
      <c r="BI363" s="86"/>
      <c r="BJ363" s="86"/>
      <c r="BK363" s="86"/>
      <c r="BL363" s="86"/>
      <c r="BM363" s="86"/>
      <c r="BN363" s="86"/>
      <c r="BO363" s="86"/>
      <c r="BP363" s="86"/>
      <c r="BQ363" s="86"/>
      <c r="BR363" s="86"/>
      <c r="BS363" s="86"/>
      <c r="BT363" s="86"/>
      <c r="BU363" s="86"/>
    </row>
    <row r="364" spans="15:73"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86"/>
      <c r="AY364" s="86"/>
      <c r="AZ364" s="86"/>
      <c r="BA364" s="86"/>
      <c r="BB364" s="86"/>
      <c r="BC364" s="86"/>
      <c r="BD364" s="86"/>
      <c r="BE364" s="86"/>
      <c r="BF364" s="86"/>
      <c r="BG364" s="86"/>
      <c r="BH364" s="86"/>
      <c r="BI364" s="86"/>
      <c r="BJ364" s="86"/>
      <c r="BK364" s="86"/>
      <c r="BL364" s="86"/>
      <c r="BM364" s="86"/>
      <c r="BN364" s="86"/>
      <c r="BO364" s="86"/>
      <c r="BP364" s="86"/>
      <c r="BQ364" s="86"/>
      <c r="BR364" s="86"/>
      <c r="BS364" s="86"/>
      <c r="BT364" s="86"/>
      <c r="BU364" s="86"/>
    </row>
    <row r="365" spans="15:73"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86"/>
      <c r="AY365" s="86"/>
      <c r="AZ365" s="86"/>
      <c r="BA365" s="86"/>
      <c r="BB365" s="86"/>
      <c r="BC365" s="86"/>
      <c r="BD365" s="86"/>
      <c r="BE365" s="86"/>
      <c r="BF365" s="86"/>
      <c r="BG365" s="86"/>
      <c r="BH365" s="86"/>
      <c r="BI365" s="86"/>
      <c r="BJ365" s="86"/>
      <c r="BK365" s="86"/>
      <c r="BL365" s="86"/>
      <c r="BM365" s="86"/>
      <c r="BN365" s="86"/>
      <c r="BO365" s="86"/>
      <c r="BP365" s="86"/>
      <c r="BQ365" s="86"/>
      <c r="BR365" s="86"/>
      <c r="BS365" s="86"/>
      <c r="BT365" s="86"/>
      <c r="BU365" s="86"/>
    </row>
    <row r="366" spans="15:73"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  <c r="AZ366" s="86"/>
      <c r="BA366" s="86"/>
      <c r="BB366" s="86"/>
      <c r="BC366" s="86"/>
      <c r="BD366" s="86"/>
      <c r="BE366" s="86"/>
      <c r="BF366" s="86"/>
      <c r="BG366" s="86"/>
      <c r="BH366" s="86"/>
      <c r="BI366" s="86"/>
      <c r="BJ366" s="86"/>
      <c r="BK366" s="86"/>
      <c r="BL366" s="86"/>
      <c r="BM366" s="86"/>
      <c r="BN366" s="86"/>
      <c r="BO366" s="86"/>
      <c r="BP366" s="86"/>
      <c r="BQ366" s="86"/>
      <c r="BR366" s="86"/>
      <c r="BS366" s="86"/>
      <c r="BT366" s="86"/>
      <c r="BU366" s="86"/>
    </row>
    <row r="367" spans="15:73"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  <c r="BJ367" s="86"/>
      <c r="BK367" s="86"/>
      <c r="BL367" s="86"/>
      <c r="BM367" s="86"/>
      <c r="BN367" s="86"/>
      <c r="BO367" s="86"/>
      <c r="BP367" s="86"/>
      <c r="BQ367" s="86"/>
      <c r="BR367" s="86"/>
      <c r="BS367" s="86"/>
      <c r="BT367" s="86"/>
      <c r="BU367" s="86"/>
    </row>
    <row r="368" spans="15:73"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6"/>
      <c r="BA368" s="86"/>
      <c r="BB368" s="86"/>
      <c r="BC368" s="86"/>
      <c r="BD368" s="86"/>
      <c r="BE368" s="86"/>
      <c r="BF368" s="86"/>
      <c r="BG368" s="86"/>
      <c r="BH368" s="86"/>
      <c r="BI368" s="86"/>
      <c r="BJ368" s="86"/>
      <c r="BK368" s="86"/>
      <c r="BL368" s="86"/>
      <c r="BM368" s="86"/>
      <c r="BN368" s="86"/>
      <c r="BO368" s="86"/>
      <c r="BP368" s="86"/>
      <c r="BQ368" s="86"/>
      <c r="BR368" s="86"/>
      <c r="BS368" s="86"/>
      <c r="BT368" s="86"/>
      <c r="BU368" s="86"/>
    </row>
    <row r="369" spans="15:73"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86"/>
      <c r="AY369" s="86"/>
      <c r="AZ369" s="86"/>
      <c r="BA369" s="86"/>
      <c r="BB369" s="86"/>
      <c r="BC369" s="86"/>
      <c r="BD369" s="86"/>
      <c r="BE369" s="86"/>
      <c r="BF369" s="86"/>
      <c r="BG369" s="86"/>
      <c r="BH369" s="86"/>
      <c r="BI369" s="86"/>
      <c r="BJ369" s="86"/>
      <c r="BK369" s="86"/>
      <c r="BL369" s="86"/>
      <c r="BM369" s="86"/>
      <c r="BN369" s="86"/>
      <c r="BO369" s="86"/>
      <c r="BP369" s="86"/>
      <c r="BQ369" s="86"/>
      <c r="BR369" s="86"/>
      <c r="BS369" s="86"/>
      <c r="BT369" s="86"/>
      <c r="BU369" s="86"/>
    </row>
    <row r="370" spans="15:73"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86"/>
      <c r="AY370" s="86"/>
      <c r="AZ370" s="86"/>
      <c r="BA370" s="86"/>
      <c r="BB370" s="86"/>
      <c r="BC370" s="86"/>
      <c r="BD370" s="86"/>
      <c r="BE370" s="86"/>
      <c r="BF370" s="86"/>
      <c r="BG370" s="86"/>
      <c r="BH370" s="86"/>
      <c r="BI370" s="86"/>
      <c r="BJ370" s="86"/>
      <c r="BK370" s="86"/>
      <c r="BL370" s="86"/>
      <c r="BM370" s="86"/>
      <c r="BN370" s="86"/>
      <c r="BO370" s="86"/>
      <c r="BP370" s="86"/>
      <c r="BQ370" s="86"/>
      <c r="BR370" s="86"/>
      <c r="BS370" s="86"/>
      <c r="BT370" s="86"/>
      <c r="BU370" s="86"/>
    </row>
    <row r="371" spans="15:73"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86"/>
      <c r="AY371" s="86"/>
      <c r="AZ371" s="86"/>
      <c r="BA371" s="86"/>
      <c r="BB371" s="86"/>
      <c r="BC371" s="86"/>
      <c r="BD371" s="86"/>
      <c r="BE371" s="86"/>
      <c r="BF371" s="86"/>
      <c r="BG371" s="86"/>
      <c r="BH371" s="86"/>
      <c r="BI371" s="86"/>
      <c r="BJ371" s="86"/>
      <c r="BK371" s="86"/>
      <c r="BL371" s="86"/>
      <c r="BM371" s="86"/>
      <c r="BN371" s="86"/>
      <c r="BO371" s="86"/>
      <c r="BP371" s="86"/>
      <c r="BQ371" s="86"/>
      <c r="BR371" s="86"/>
      <c r="BS371" s="86"/>
      <c r="BT371" s="86"/>
      <c r="BU371" s="86"/>
    </row>
    <row r="372" spans="15:73"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86"/>
      <c r="AY372" s="86"/>
      <c r="AZ372" s="86"/>
      <c r="BA372" s="86"/>
      <c r="BB372" s="86"/>
      <c r="BC372" s="86"/>
      <c r="BD372" s="86"/>
      <c r="BE372" s="86"/>
      <c r="BF372" s="86"/>
      <c r="BG372" s="86"/>
      <c r="BH372" s="86"/>
      <c r="BI372" s="86"/>
      <c r="BJ372" s="86"/>
      <c r="BK372" s="86"/>
      <c r="BL372" s="86"/>
      <c r="BM372" s="86"/>
      <c r="BN372" s="86"/>
      <c r="BO372" s="86"/>
      <c r="BP372" s="86"/>
      <c r="BQ372" s="86"/>
      <c r="BR372" s="86"/>
      <c r="BS372" s="86"/>
      <c r="BT372" s="86"/>
      <c r="BU372" s="86"/>
    </row>
    <row r="373" spans="15:73"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AX373" s="86"/>
      <c r="AY373" s="86"/>
      <c r="AZ373" s="86"/>
      <c r="BA373" s="86"/>
      <c r="BB373" s="86"/>
      <c r="BC373" s="86"/>
      <c r="BD373" s="86"/>
      <c r="BE373" s="86"/>
      <c r="BF373" s="86"/>
      <c r="BG373" s="86"/>
      <c r="BH373" s="86"/>
      <c r="BI373" s="86"/>
      <c r="BJ373" s="86"/>
      <c r="BK373" s="86"/>
      <c r="BL373" s="86"/>
      <c r="BM373" s="86"/>
      <c r="BN373" s="86"/>
      <c r="BO373" s="86"/>
      <c r="BP373" s="86"/>
      <c r="BQ373" s="86"/>
      <c r="BR373" s="86"/>
      <c r="BS373" s="86"/>
      <c r="BT373" s="86"/>
      <c r="BU373" s="86"/>
    </row>
    <row r="374" spans="15:73"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86"/>
      <c r="AY374" s="86"/>
      <c r="AZ374" s="86"/>
      <c r="BA374" s="86"/>
      <c r="BB374" s="86"/>
      <c r="BC374" s="86"/>
      <c r="BD374" s="86"/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6"/>
      <c r="BQ374" s="86"/>
      <c r="BR374" s="86"/>
      <c r="BS374" s="86"/>
      <c r="BT374" s="86"/>
      <c r="BU374" s="86"/>
    </row>
    <row r="375" spans="15:73"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86"/>
      <c r="AY375" s="86"/>
      <c r="AZ375" s="86"/>
      <c r="BA375" s="86"/>
      <c r="BB375" s="86"/>
      <c r="BC375" s="86"/>
      <c r="BD375" s="86"/>
      <c r="BE375" s="86"/>
      <c r="BF375" s="86"/>
      <c r="BG375" s="86"/>
      <c r="BH375" s="86"/>
      <c r="BI375" s="86"/>
      <c r="BJ375" s="86"/>
      <c r="BK375" s="86"/>
      <c r="BL375" s="86"/>
      <c r="BM375" s="86"/>
      <c r="BN375" s="86"/>
      <c r="BO375" s="86"/>
      <c r="BP375" s="86"/>
      <c r="BQ375" s="86"/>
      <c r="BR375" s="86"/>
      <c r="BS375" s="86"/>
      <c r="BT375" s="86"/>
      <c r="BU375" s="86"/>
    </row>
    <row r="376" spans="15:73"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86"/>
      <c r="AY376" s="86"/>
      <c r="AZ376" s="86"/>
      <c r="BA376" s="86"/>
      <c r="BB376" s="86"/>
      <c r="BC376" s="86"/>
      <c r="BD376" s="86"/>
      <c r="BE376" s="86"/>
      <c r="BF376" s="86"/>
      <c r="BG376" s="86"/>
      <c r="BH376" s="86"/>
      <c r="BI376" s="86"/>
      <c r="BJ376" s="86"/>
      <c r="BK376" s="86"/>
      <c r="BL376" s="86"/>
      <c r="BM376" s="86"/>
      <c r="BN376" s="86"/>
      <c r="BO376" s="86"/>
      <c r="BP376" s="86"/>
      <c r="BQ376" s="86"/>
      <c r="BR376" s="86"/>
      <c r="BS376" s="86"/>
      <c r="BT376" s="86"/>
      <c r="BU376" s="86"/>
    </row>
    <row r="377" spans="15:73"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AX377" s="86"/>
      <c r="AY377" s="86"/>
      <c r="AZ377" s="86"/>
      <c r="BA377" s="86"/>
      <c r="BB377" s="86"/>
      <c r="BC377" s="86"/>
      <c r="BD377" s="86"/>
      <c r="BE377" s="86"/>
      <c r="BF377" s="86"/>
      <c r="BG377" s="86"/>
      <c r="BH377" s="86"/>
      <c r="BI377" s="86"/>
      <c r="BJ377" s="86"/>
      <c r="BK377" s="86"/>
      <c r="BL377" s="86"/>
      <c r="BM377" s="86"/>
      <c r="BN377" s="86"/>
      <c r="BO377" s="86"/>
      <c r="BP377" s="86"/>
      <c r="BQ377" s="86"/>
      <c r="BR377" s="86"/>
      <c r="BS377" s="86"/>
      <c r="BT377" s="86"/>
      <c r="BU377" s="86"/>
    </row>
    <row r="378" spans="15:73"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86"/>
      <c r="AY378" s="86"/>
      <c r="AZ378" s="86"/>
      <c r="BA378" s="86"/>
      <c r="BB378" s="86"/>
      <c r="BC378" s="86"/>
      <c r="BD378" s="86"/>
      <c r="BE378" s="86"/>
      <c r="BF378" s="86"/>
      <c r="BG378" s="86"/>
      <c r="BH378" s="86"/>
      <c r="BI378" s="86"/>
      <c r="BJ378" s="86"/>
      <c r="BK378" s="86"/>
      <c r="BL378" s="86"/>
      <c r="BM378" s="86"/>
      <c r="BN378" s="86"/>
      <c r="BO378" s="86"/>
      <c r="BP378" s="86"/>
      <c r="BQ378" s="86"/>
      <c r="BR378" s="86"/>
      <c r="BS378" s="86"/>
      <c r="BT378" s="86"/>
      <c r="BU378" s="86"/>
    </row>
    <row r="379" spans="15:73"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AX379" s="86"/>
      <c r="AY379" s="86"/>
      <c r="AZ379" s="86"/>
      <c r="BA379" s="86"/>
      <c r="BB379" s="86"/>
      <c r="BC379" s="86"/>
      <c r="BD379" s="86"/>
      <c r="BE379" s="86"/>
      <c r="BF379" s="86"/>
      <c r="BG379" s="86"/>
      <c r="BH379" s="86"/>
      <c r="BI379" s="86"/>
      <c r="BJ379" s="86"/>
      <c r="BK379" s="86"/>
      <c r="BL379" s="86"/>
      <c r="BM379" s="86"/>
      <c r="BN379" s="86"/>
      <c r="BO379" s="86"/>
      <c r="BP379" s="86"/>
      <c r="BQ379" s="86"/>
      <c r="BR379" s="86"/>
      <c r="BS379" s="86"/>
      <c r="BT379" s="86"/>
      <c r="BU379" s="86"/>
    </row>
    <row r="380" spans="15:73"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AX380" s="86"/>
      <c r="AY380" s="86"/>
      <c r="AZ380" s="86"/>
      <c r="BA380" s="86"/>
      <c r="BB380" s="86"/>
      <c r="BC380" s="86"/>
      <c r="BD380" s="86"/>
      <c r="BE380" s="86"/>
      <c r="BF380" s="86"/>
      <c r="BG380" s="86"/>
      <c r="BH380" s="86"/>
      <c r="BI380" s="86"/>
      <c r="BJ380" s="86"/>
      <c r="BK380" s="86"/>
      <c r="BL380" s="86"/>
      <c r="BM380" s="86"/>
      <c r="BN380" s="86"/>
      <c r="BO380" s="86"/>
      <c r="BP380" s="86"/>
      <c r="BQ380" s="86"/>
      <c r="BR380" s="86"/>
      <c r="BS380" s="86"/>
      <c r="BT380" s="86"/>
      <c r="BU380" s="86"/>
    </row>
    <row r="381" spans="15:73"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86"/>
      <c r="AY381" s="86"/>
      <c r="AZ381" s="86"/>
      <c r="BA381" s="86"/>
      <c r="BB381" s="86"/>
      <c r="BC381" s="86"/>
      <c r="BD381" s="86"/>
      <c r="BE381" s="86"/>
      <c r="BF381" s="86"/>
      <c r="BG381" s="86"/>
      <c r="BH381" s="86"/>
      <c r="BI381" s="86"/>
      <c r="BJ381" s="86"/>
      <c r="BK381" s="86"/>
      <c r="BL381" s="86"/>
      <c r="BM381" s="86"/>
      <c r="BN381" s="86"/>
      <c r="BO381" s="86"/>
      <c r="BP381" s="86"/>
      <c r="BQ381" s="86"/>
      <c r="BR381" s="86"/>
      <c r="BS381" s="86"/>
      <c r="BT381" s="86"/>
      <c r="BU381" s="86"/>
    </row>
    <row r="382" spans="15:73"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86"/>
      <c r="AY382" s="86"/>
      <c r="AZ382" s="86"/>
      <c r="BA382" s="86"/>
      <c r="BB382" s="86"/>
      <c r="BC382" s="86"/>
      <c r="BD382" s="86"/>
      <c r="BE382" s="86"/>
      <c r="BF382" s="86"/>
      <c r="BG382" s="86"/>
      <c r="BH382" s="86"/>
      <c r="BI382" s="86"/>
      <c r="BJ382" s="86"/>
      <c r="BK382" s="86"/>
      <c r="BL382" s="86"/>
      <c r="BM382" s="86"/>
      <c r="BN382" s="86"/>
      <c r="BO382" s="86"/>
      <c r="BP382" s="86"/>
      <c r="BQ382" s="86"/>
      <c r="BR382" s="86"/>
      <c r="BS382" s="86"/>
      <c r="BT382" s="86"/>
      <c r="BU382" s="86"/>
    </row>
    <row r="383" spans="15:73"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  <c r="AZ383" s="86"/>
      <c r="BA383" s="86"/>
      <c r="BB383" s="86"/>
      <c r="BC383" s="86"/>
      <c r="BD383" s="86"/>
      <c r="BE383" s="86"/>
      <c r="BF383" s="86"/>
      <c r="BG383" s="86"/>
      <c r="BH383" s="86"/>
      <c r="BI383" s="86"/>
      <c r="BJ383" s="86"/>
      <c r="BK383" s="86"/>
      <c r="BL383" s="86"/>
      <c r="BM383" s="86"/>
      <c r="BN383" s="86"/>
      <c r="BO383" s="86"/>
      <c r="BP383" s="86"/>
      <c r="BQ383" s="86"/>
      <c r="BR383" s="86"/>
      <c r="BS383" s="86"/>
      <c r="BT383" s="86"/>
      <c r="BU383" s="86"/>
    </row>
    <row r="384" spans="15:73"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AX384" s="86"/>
      <c r="AY384" s="86"/>
      <c r="AZ384" s="86"/>
      <c r="BA384" s="86"/>
      <c r="BB384" s="86"/>
      <c r="BC384" s="86"/>
      <c r="BD384" s="86"/>
      <c r="BE384" s="86"/>
      <c r="BF384" s="86"/>
      <c r="BG384" s="86"/>
      <c r="BH384" s="86"/>
      <c r="BI384" s="86"/>
      <c r="BJ384" s="86"/>
      <c r="BK384" s="86"/>
      <c r="BL384" s="86"/>
      <c r="BM384" s="86"/>
      <c r="BN384" s="86"/>
      <c r="BO384" s="86"/>
      <c r="BP384" s="86"/>
      <c r="BQ384" s="86"/>
      <c r="BR384" s="86"/>
      <c r="BS384" s="86"/>
      <c r="BT384" s="86"/>
      <c r="BU384" s="86"/>
    </row>
    <row r="385" spans="15:73"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86"/>
      <c r="AY385" s="86"/>
      <c r="AZ385" s="86"/>
      <c r="BA385" s="86"/>
      <c r="BB385" s="86"/>
      <c r="BC385" s="86"/>
      <c r="BD385" s="86"/>
      <c r="BE385" s="86"/>
      <c r="BF385" s="86"/>
      <c r="BG385" s="86"/>
      <c r="BH385" s="86"/>
      <c r="BI385" s="86"/>
      <c r="BJ385" s="86"/>
      <c r="BK385" s="86"/>
      <c r="BL385" s="86"/>
      <c r="BM385" s="86"/>
      <c r="BN385" s="86"/>
      <c r="BO385" s="86"/>
      <c r="BP385" s="86"/>
      <c r="BQ385" s="86"/>
      <c r="BR385" s="86"/>
      <c r="BS385" s="86"/>
      <c r="BT385" s="86"/>
      <c r="BU385" s="86"/>
    </row>
    <row r="386" spans="15:73"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86"/>
      <c r="AY386" s="86"/>
      <c r="AZ386" s="86"/>
      <c r="BA386" s="86"/>
      <c r="BB386" s="86"/>
      <c r="BC386" s="86"/>
      <c r="BD386" s="86"/>
      <c r="BE386" s="86"/>
      <c r="BF386" s="86"/>
      <c r="BG386" s="86"/>
      <c r="BH386" s="86"/>
      <c r="BI386" s="86"/>
      <c r="BJ386" s="86"/>
      <c r="BK386" s="86"/>
      <c r="BL386" s="86"/>
      <c r="BM386" s="86"/>
      <c r="BN386" s="86"/>
      <c r="BO386" s="86"/>
      <c r="BP386" s="86"/>
      <c r="BQ386" s="86"/>
      <c r="BR386" s="86"/>
      <c r="BS386" s="86"/>
      <c r="BT386" s="86"/>
      <c r="BU386" s="86"/>
    </row>
    <row r="387" spans="15:73"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86"/>
      <c r="AY387" s="86"/>
      <c r="AZ387" s="86"/>
      <c r="BA387" s="86"/>
      <c r="BB387" s="86"/>
      <c r="BC387" s="86"/>
      <c r="BD387" s="86"/>
      <c r="BE387" s="86"/>
      <c r="BF387" s="86"/>
      <c r="BG387" s="86"/>
      <c r="BH387" s="86"/>
      <c r="BI387" s="86"/>
      <c r="BJ387" s="86"/>
      <c r="BK387" s="86"/>
      <c r="BL387" s="86"/>
      <c r="BM387" s="86"/>
      <c r="BN387" s="86"/>
      <c r="BO387" s="86"/>
      <c r="BP387" s="86"/>
      <c r="BQ387" s="86"/>
      <c r="BR387" s="86"/>
      <c r="BS387" s="86"/>
      <c r="BT387" s="86"/>
      <c r="BU387" s="86"/>
    </row>
    <row r="388" spans="15:73"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86"/>
      <c r="AY388" s="86"/>
      <c r="AZ388" s="86"/>
      <c r="BA388" s="86"/>
      <c r="BB388" s="86"/>
      <c r="BC388" s="86"/>
      <c r="BD388" s="86"/>
      <c r="BE388" s="86"/>
      <c r="BF388" s="86"/>
      <c r="BG388" s="86"/>
      <c r="BH388" s="86"/>
      <c r="BI388" s="86"/>
      <c r="BJ388" s="86"/>
      <c r="BK388" s="86"/>
      <c r="BL388" s="86"/>
      <c r="BM388" s="86"/>
      <c r="BN388" s="86"/>
      <c r="BO388" s="86"/>
      <c r="BP388" s="86"/>
      <c r="BQ388" s="86"/>
      <c r="BR388" s="86"/>
      <c r="BS388" s="86"/>
      <c r="BT388" s="86"/>
      <c r="BU388" s="86"/>
    </row>
    <row r="389" spans="15:73"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86"/>
      <c r="AY389" s="86"/>
      <c r="AZ389" s="86"/>
      <c r="BA389" s="86"/>
      <c r="BB389" s="86"/>
      <c r="BC389" s="86"/>
      <c r="BD389" s="86"/>
      <c r="BE389" s="86"/>
      <c r="BF389" s="86"/>
      <c r="BG389" s="86"/>
      <c r="BH389" s="86"/>
      <c r="BI389" s="86"/>
      <c r="BJ389" s="86"/>
      <c r="BK389" s="86"/>
      <c r="BL389" s="86"/>
      <c r="BM389" s="86"/>
      <c r="BN389" s="86"/>
      <c r="BO389" s="86"/>
      <c r="BP389" s="86"/>
      <c r="BQ389" s="86"/>
      <c r="BR389" s="86"/>
      <c r="BS389" s="86"/>
      <c r="BT389" s="86"/>
      <c r="BU389" s="86"/>
    </row>
    <row r="390" spans="15:73"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  <c r="AZ390" s="86"/>
      <c r="BA390" s="86"/>
      <c r="BB390" s="86"/>
      <c r="BC390" s="86"/>
      <c r="BD390" s="86"/>
      <c r="BE390" s="86"/>
      <c r="BF390" s="86"/>
      <c r="BG390" s="86"/>
      <c r="BH390" s="86"/>
      <c r="BI390" s="86"/>
      <c r="BJ390" s="86"/>
      <c r="BK390" s="86"/>
      <c r="BL390" s="86"/>
      <c r="BM390" s="86"/>
      <c r="BN390" s="86"/>
      <c r="BO390" s="86"/>
      <c r="BP390" s="86"/>
      <c r="BQ390" s="86"/>
      <c r="BR390" s="86"/>
      <c r="BS390" s="86"/>
      <c r="BT390" s="86"/>
      <c r="BU390" s="86"/>
    </row>
    <row r="391" spans="15:73"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86"/>
      <c r="AY391" s="86"/>
      <c r="AZ391" s="86"/>
      <c r="BA391" s="86"/>
      <c r="BB391" s="86"/>
      <c r="BC391" s="86"/>
      <c r="BD391" s="86"/>
      <c r="BE391" s="86"/>
      <c r="BF391" s="86"/>
      <c r="BG391" s="86"/>
      <c r="BH391" s="86"/>
      <c r="BI391" s="86"/>
      <c r="BJ391" s="86"/>
      <c r="BK391" s="86"/>
      <c r="BL391" s="86"/>
      <c r="BM391" s="86"/>
      <c r="BN391" s="86"/>
      <c r="BO391" s="86"/>
      <c r="BP391" s="86"/>
      <c r="BQ391" s="86"/>
      <c r="BR391" s="86"/>
      <c r="BS391" s="86"/>
      <c r="BT391" s="86"/>
      <c r="BU391" s="86"/>
    </row>
    <row r="392" spans="15:73"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86"/>
      <c r="AY392" s="86"/>
      <c r="AZ392" s="86"/>
      <c r="BA392" s="86"/>
      <c r="BB392" s="86"/>
      <c r="BC392" s="86"/>
      <c r="BD392" s="86"/>
      <c r="BE392" s="86"/>
      <c r="BF392" s="86"/>
      <c r="BG392" s="86"/>
      <c r="BH392" s="86"/>
      <c r="BI392" s="86"/>
      <c r="BJ392" s="86"/>
      <c r="BK392" s="86"/>
      <c r="BL392" s="86"/>
      <c r="BM392" s="86"/>
      <c r="BN392" s="86"/>
      <c r="BO392" s="86"/>
      <c r="BP392" s="86"/>
      <c r="BQ392" s="86"/>
      <c r="BR392" s="86"/>
      <c r="BS392" s="86"/>
      <c r="BT392" s="86"/>
      <c r="BU392" s="86"/>
    </row>
    <row r="393" spans="15:73"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86"/>
      <c r="AY393" s="86"/>
      <c r="AZ393" s="86"/>
      <c r="BA393" s="86"/>
      <c r="BB393" s="86"/>
      <c r="BC393" s="86"/>
      <c r="BD393" s="86"/>
      <c r="BE393" s="86"/>
      <c r="BF393" s="86"/>
      <c r="BG393" s="86"/>
      <c r="BH393" s="86"/>
      <c r="BI393" s="86"/>
      <c r="BJ393" s="86"/>
      <c r="BK393" s="86"/>
      <c r="BL393" s="86"/>
      <c r="BM393" s="86"/>
      <c r="BN393" s="86"/>
      <c r="BO393" s="86"/>
      <c r="BP393" s="86"/>
      <c r="BQ393" s="86"/>
      <c r="BR393" s="86"/>
      <c r="BS393" s="86"/>
      <c r="BT393" s="86"/>
      <c r="BU393" s="86"/>
    </row>
    <row r="394" spans="15:73"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86"/>
      <c r="AO394" s="86"/>
      <c r="AP394" s="86"/>
      <c r="AQ394" s="86"/>
      <c r="AR394" s="86"/>
      <c r="AS394" s="86"/>
      <c r="AT394" s="86"/>
      <c r="AU394" s="86"/>
      <c r="AV394" s="86"/>
      <c r="AW394" s="86"/>
      <c r="AX394" s="86"/>
      <c r="AY394" s="86"/>
      <c r="AZ394" s="86"/>
      <c r="BA394" s="86"/>
      <c r="BB394" s="86"/>
      <c r="BC394" s="86"/>
      <c r="BD394" s="86"/>
      <c r="BE394" s="86"/>
      <c r="BF394" s="86"/>
      <c r="BG394" s="86"/>
      <c r="BH394" s="86"/>
      <c r="BI394" s="86"/>
      <c r="BJ394" s="86"/>
      <c r="BK394" s="86"/>
      <c r="BL394" s="86"/>
      <c r="BM394" s="86"/>
      <c r="BN394" s="86"/>
      <c r="BO394" s="86"/>
      <c r="BP394" s="86"/>
      <c r="BQ394" s="86"/>
      <c r="BR394" s="86"/>
      <c r="BS394" s="86"/>
      <c r="BT394" s="86"/>
      <c r="BU394" s="86"/>
    </row>
    <row r="395" spans="15:73"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86"/>
      <c r="AO395" s="86"/>
      <c r="AP395" s="86"/>
      <c r="AQ395" s="86"/>
      <c r="AR395" s="86"/>
      <c r="AS395" s="86"/>
      <c r="AT395" s="86"/>
      <c r="AU395" s="86"/>
      <c r="AV395" s="86"/>
      <c r="AW395" s="86"/>
      <c r="AX395" s="86"/>
      <c r="AY395" s="86"/>
      <c r="AZ395" s="86"/>
      <c r="BA395" s="86"/>
      <c r="BB395" s="86"/>
      <c r="BC395" s="86"/>
      <c r="BD395" s="86"/>
      <c r="BE395" s="86"/>
      <c r="BF395" s="86"/>
      <c r="BG395" s="86"/>
      <c r="BH395" s="86"/>
      <c r="BI395" s="86"/>
      <c r="BJ395" s="86"/>
      <c r="BK395" s="86"/>
      <c r="BL395" s="86"/>
      <c r="BM395" s="86"/>
      <c r="BN395" s="86"/>
      <c r="BO395" s="86"/>
      <c r="BP395" s="86"/>
      <c r="BQ395" s="86"/>
      <c r="BR395" s="86"/>
      <c r="BS395" s="86"/>
      <c r="BT395" s="86"/>
      <c r="BU395" s="86"/>
    </row>
    <row r="396" spans="15:73"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  <c r="AR396" s="86"/>
      <c r="AS396" s="86"/>
      <c r="AT396" s="86"/>
      <c r="AU396" s="86"/>
      <c r="AV396" s="86"/>
      <c r="AW396" s="86"/>
      <c r="AX396" s="86"/>
      <c r="AY396" s="86"/>
      <c r="AZ396" s="86"/>
      <c r="BA396" s="86"/>
      <c r="BB396" s="86"/>
      <c r="BC396" s="86"/>
      <c r="BD396" s="86"/>
      <c r="BE396" s="86"/>
      <c r="BF396" s="86"/>
      <c r="BG396" s="86"/>
      <c r="BH396" s="86"/>
      <c r="BI396" s="86"/>
      <c r="BJ396" s="86"/>
      <c r="BK396" s="86"/>
      <c r="BL396" s="86"/>
      <c r="BM396" s="86"/>
      <c r="BN396" s="86"/>
      <c r="BO396" s="86"/>
      <c r="BP396" s="86"/>
      <c r="BQ396" s="86"/>
      <c r="BR396" s="86"/>
      <c r="BS396" s="86"/>
      <c r="BT396" s="86"/>
      <c r="BU396" s="86"/>
    </row>
    <row r="397" spans="15:73"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  <c r="AX397" s="86"/>
      <c r="AY397" s="86"/>
      <c r="AZ397" s="86"/>
      <c r="BA397" s="86"/>
      <c r="BB397" s="86"/>
      <c r="BC397" s="86"/>
      <c r="BD397" s="86"/>
      <c r="BE397" s="86"/>
      <c r="BF397" s="86"/>
      <c r="BG397" s="86"/>
      <c r="BH397" s="86"/>
      <c r="BI397" s="86"/>
      <c r="BJ397" s="86"/>
      <c r="BK397" s="86"/>
      <c r="BL397" s="86"/>
      <c r="BM397" s="86"/>
      <c r="BN397" s="86"/>
      <c r="BO397" s="86"/>
      <c r="BP397" s="86"/>
      <c r="BQ397" s="86"/>
      <c r="BR397" s="86"/>
      <c r="BS397" s="86"/>
      <c r="BT397" s="86"/>
      <c r="BU397" s="86"/>
    </row>
    <row r="398" spans="15:73"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  <c r="AX398" s="86"/>
      <c r="AY398" s="86"/>
      <c r="AZ398" s="86"/>
      <c r="BA398" s="86"/>
      <c r="BB398" s="86"/>
      <c r="BC398" s="86"/>
      <c r="BD398" s="86"/>
      <c r="BE398" s="86"/>
      <c r="BF398" s="86"/>
      <c r="BG398" s="86"/>
      <c r="BH398" s="86"/>
      <c r="BI398" s="86"/>
      <c r="BJ398" s="86"/>
      <c r="BK398" s="86"/>
      <c r="BL398" s="86"/>
      <c r="BM398" s="86"/>
      <c r="BN398" s="86"/>
      <c r="BO398" s="86"/>
      <c r="BP398" s="86"/>
      <c r="BQ398" s="86"/>
      <c r="BR398" s="86"/>
      <c r="BS398" s="86"/>
      <c r="BT398" s="86"/>
      <c r="BU398" s="86"/>
    </row>
    <row r="399" spans="15:73"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86"/>
      <c r="AO399" s="86"/>
      <c r="AP399" s="86"/>
      <c r="AQ399" s="86"/>
      <c r="AR399" s="86"/>
      <c r="AS399" s="86"/>
      <c r="AT399" s="86"/>
      <c r="AU399" s="86"/>
      <c r="AV399" s="86"/>
      <c r="AW399" s="86"/>
      <c r="AX399" s="86"/>
      <c r="AY399" s="86"/>
      <c r="AZ399" s="86"/>
      <c r="BA399" s="86"/>
      <c r="BB399" s="86"/>
      <c r="BC399" s="86"/>
      <c r="BD399" s="86"/>
      <c r="BE399" s="86"/>
      <c r="BF399" s="86"/>
      <c r="BG399" s="86"/>
      <c r="BH399" s="86"/>
      <c r="BI399" s="86"/>
      <c r="BJ399" s="86"/>
      <c r="BK399" s="86"/>
      <c r="BL399" s="86"/>
      <c r="BM399" s="86"/>
      <c r="BN399" s="86"/>
      <c r="BO399" s="86"/>
      <c r="BP399" s="86"/>
      <c r="BQ399" s="86"/>
      <c r="BR399" s="86"/>
      <c r="BS399" s="86"/>
      <c r="BT399" s="86"/>
      <c r="BU399" s="86"/>
    </row>
    <row r="400" spans="15:73"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  <c r="AM400" s="86"/>
      <c r="AN400" s="86"/>
      <c r="AO400" s="86"/>
      <c r="AP400" s="86"/>
      <c r="AQ400" s="86"/>
      <c r="AR400" s="86"/>
      <c r="AS400" s="86"/>
      <c r="AT400" s="86"/>
      <c r="AU400" s="86"/>
      <c r="AV400" s="86"/>
      <c r="AW400" s="86"/>
      <c r="AX400" s="86"/>
      <c r="AY400" s="86"/>
      <c r="AZ400" s="86"/>
      <c r="BA400" s="86"/>
      <c r="BB400" s="86"/>
      <c r="BC400" s="86"/>
      <c r="BD400" s="86"/>
      <c r="BE400" s="86"/>
      <c r="BF400" s="86"/>
      <c r="BG400" s="86"/>
      <c r="BH400" s="86"/>
      <c r="BI400" s="86"/>
      <c r="BJ400" s="86"/>
      <c r="BK400" s="86"/>
      <c r="BL400" s="86"/>
      <c r="BM400" s="86"/>
      <c r="BN400" s="86"/>
      <c r="BO400" s="86"/>
      <c r="BP400" s="86"/>
      <c r="BQ400" s="86"/>
      <c r="BR400" s="86"/>
      <c r="BS400" s="86"/>
      <c r="BT400" s="86"/>
      <c r="BU400" s="86"/>
    </row>
    <row r="401" spans="15:73"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  <c r="AX401" s="86"/>
      <c r="AY401" s="86"/>
      <c r="AZ401" s="86"/>
      <c r="BA401" s="86"/>
      <c r="BB401" s="86"/>
      <c r="BC401" s="86"/>
      <c r="BD401" s="86"/>
      <c r="BE401" s="86"/>
      <c r="BF401" s="86"/>
      <c r="BG401" s="86"/>
      <c r="BH401" s="86"/>
      <c r="BI401" s="86"/>
      <c r="BJ401" s="86"/>
      <c r="BK401" s="86"/>
      <c r="BL401" s="86"/>
      <c r="BM401" s="86"/>
      <c r="BN401" s="86"/>
      <c r="BO401" s="86"/>
      <c r="BP401" s="86"/>
      <c r="BQ401" s="86"/>
      <c r="BR401" s="86"/>
      <c r="BS401" s="86"/>
      <c r="BT401" s="86"/>
      <c r="BU401" s="86"/>
    </row>
    <row r="402" spans="15:73"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86"/>
      <c r="AO402" s="86"/>
      <c r="AP402" s="86"/>
      <c r="AQ402" s="86"/>
      <c r="AR402" s="86"/>
      <c r="AS402" s="86"/>
      <c r="AT402" s="86"/>
      <c r="AU402" s="86"/>
      <c r="AV402" s="86"/>
      <c r="AW402" s="86"/>
      <c r="AX402" s="86"/>
      <c r="AY402" s="86"/>
      <c r="AZ402" s="86"/>
      <c r="BA402" s="86"/>
      <c r="BB402" s="86"/>
      <c r="BC402" s="86"/>
      <c r="BD402" s="86"/>
      <c r="BE402" s="86"/>
      <c r="BF402" s="86"/>
      <c r="BG402" s="86"/>
      <c r="BH402" s="86"/>
      <c r="BI402" s="86"/>
      <c r="BJ402" s="86"/>
      <c r="BK402" s="86"/>
      <c r="BL402" s="86"/>
      <c r="BM402" s="86"/>
      <c r="BN402" s="86"/>
      <c r="BO402" s="86"/>
      <c r="BP402" s="86"/>
      <c r="BQ402" s="86"/>
      <c r="BR402" s="86"/>
      <c r="BS402" s="86"/>
      <c r="BT402" s="86"/>
      <c r="BU402" s="86"/>
    </row>
    <row r="403" spans="15:73"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  <c r="AX403" s="86"/>
      <c r="AY403" s="86"/>
      <c r="AZ403" s="86"/>
      <c r="BA403" s="86"/>
      <c r="BB403" s="86"/>
      <c r="BC403" s="86"/>
      <c r="BD403" s="86"/>
      <c r="BE403" s="86"/>
      <c r="BF403" s="86"/>
      <c r="BG403" s="86"/>
      <c r="BH403" s="86"/>
      <c r="BI403" s="86"/>
      <c r="BJ403" s="86"/>
      <c r="BK403" s="86"/>
      <c r="BL403" s="86"/>
      <c r="BM403" s="86"/>
      <c r="BN403" s="86"/>
      <c r="BO403" s="86"/>
      <c r="BP403" s="86"/>
      <c r="BQ403" s="86"/>
      <c r="BR403" s="86"/>
      <c r="BS403" s="86"/>
      <c r="BT403" s="86"/>
      <c r="BU403" s="86"/>
    </row>
    <row r="404" spans="15:73"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  <c r="AX404" s="86"/>
      <c r="AY404" s="86"/>
      <c r="AZ404" s="86"/>
      <c r="BA404" s="86"/>
      <c r="BB404" s="86"/>
      <c r="BC404" s="86"/>
      <c r="BD404" s="86"/>
      <c r="BE404" s="86"/>
      <c r="BF404" s="86"/>
      <c r="BG404" s="86"/>
      <c r="BH404" s="86"/>
      <c r="BI404" s="86"/>
      <c r="BJ404" s="86"/>
      <c r="BK404" s="86"/>
      <c r="BL404" s="86"/>
      <c r="BM404" s="86"/>
      <c r="BN404" s="86"/>
      <c r="BO404" s="86"/>
      <c r="BP404" s="86"/>
      <c r="BQ404" s="86"/>
      <c r="BR404" s="86"/>
      <c r="BS404" s="86"/>
      <c r="BT404" s="86"/>
      <c r="BU404" s="86"/>
    </row>
    <row r="405" spans="15:73"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86"/>
      <c r="AP405" s="86"/>
      <c r="AQ405" s="86"/>
      <c r="AR405" s="86"/>
      <c r="AS405" s="86"/>
      <c r="AT405" s="86"/>
      <c r="AU405" s="86"/>
      <c r="AV405" s="86"/>
      <c r="AW405" s="86"/>
      <c r="AX405" s="86"/>
      <c r="AY405" s="86"/>
      <c r="AZ405" s="86"/>
      <c r="BA405" s="86"/>
      <c r="BB405" s="86"/>
      <c r="BC405" s="86"/>
      <c r="BD405" s="86"/>
      <c r="BE405" s="86"/>
      <c r="BF405" s="86"/>
      <c r="BG405" s="86"/>
      <c r="BH405" s="86"/>
      <c r="BI405" s="86"/>
      <c r="BJ405" s="86"/>
      <c r="BK405" s="86"/>
      <c r="BL405" s="86"/>
      <c r="BM405" s="86"/>
      <c r="BN405" s="86"/>
      <c r="BO405" s="86"/>
      <c r="BP405" s="86"/>
      <c r="BQ405" s="86"/>
      <c r="BR405" s="86"/>
      <c r="BS405" s="86"/>
      <c r="BT405" s="86"/>
      <c r="BU405" s="86"/>
    </row>
    <row r="406" spans="15:73"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  <c r="AX406" s="86"/>
      <c r="AY406" s="86"/>
      <c r="AZ406" s="86"/>
      <c r="BA406" s="86"/>
      <c r="BB406" s="86"/>
      <c r="BC406" s="86"/>
      <c r="BD406" s="86"/>
      <c r="BE406" s="86"/>
      <c r="BF406" s="86"/>
      <c r="BG406" s="86"/>
      <c r="BH406" s="86"/>
      <c r="BI406" s="86"/>
      <c r="BJ406" s="86"/>
      <c r="BK406" s="86"/>
      <c r="BL406" s="86"/>
      <c r="BM406" s="86"/>
      <c r="BN406" s="86"/>
      <c r="BO406" s="86"/>
      <c r="BP406" s="86"/>
      <c r="BQ406" s="86"/>
      <c r="BR406" s="86"/>
      <c r="BS406" s="86"/>
      <c r="BT406" s="86"/>
      <c r="BU406" s="86"/>
    </row>
    <row r="407" spans="15:73"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AX407" s="86"/>
      <c r="AY407" s="86"/>
      <c r="AZ407" s="86"/>
      <c r="BA407" s="86"/>
      <c r="BB407" s="86"/>
      <c r="BC407" s="86"/>
      <c r="BD407" s="86"/>
      <c r="BE407" s="86"/>
      <c r="BF407" s="86"/>
      <c r="BG407" s="86"/>
      <c r="BH407" s="86"/>
      <c r="BI407" s="86"/>
      <c r="BJ407" s="86"/>
      <c r="BK407" s="86"/>
      <c r="BL407" s="86"/>
      <c r="BM407" s="86"/>
      <c r="BN407" s="86"/>
      <c r="BO407" s="86"/>
      <c r="BP407" s="86"/>
      <c r="BQ407" s="86"/>
      <c r="BR407" s="86"/>
      <c r="BS407" s="86"/>
      <c r="BT407" s="86"/>
      <c r="BU407" s="86"/>
    </row>
    <row r="408" spans="15:73"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AX408" s="86"/>
      <c r="AY408" s="86"/>
      <c r="AZ408" s="86"/>
      <c r="BA408" s="86"/>
      <c r="BB408" s="86"/>
      <c r="BC408" s="86"/>
      <c r="BD408" s="86"/>
      <c r="BE408" s="86"/>
      <c r="BF408" s="86"/>
      <c r="BG408" s="86"/>
      <c r="BH408" s="86"/>
      <c r="BI408" s="86"/>
      <c r="BJ408" s="86"/>
      <c r="BK408" s="86"/>
      <c r="BL408" s="86"/>
      <c r="BM408" s="86"/>
      <c r="BN408" s="86"/>
      <c r="BO408" s="86"/>
      <c r="BP408" s="86"/>
      <c r="BQ408" s="86"/>
      <c r="BR408" s="86"/>
      <c r="BS408" s="86"/>
      <c r="BT408" s="86"/>
      <c r="BU408" s="86"/>
    </row>
    <row r="409" spans="15:73"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AX409" s="86"/>
      <c r="AY409" s="86"/>
      <c r="AZ409" s="86"/>
      <c r="BA409" s="86"/>
      <c r="BB409" s="86"/>
      <c r="BC409" s="86"/>
      <c r="BD409" s="86"/>
      <c r="BE409" s="86"/>
      <c r="BF409" s="86"/>
      <c r="BG409" s="86"/>
      <c r="BH409" s="86"/>
      <c r="BI409" s="86"/>
      <c r="BJ409" s="86"/>
      <c r="BK409" s="86"/>
      <c r="BL409" s="86"/>
      <c r="BM409" s="86"/>
      <c r="BN409" s="86"/>
      <c r="BO409" s="86"/>
      <c r="BP409" s="86"/>
      <c r="BQ409" s="86"/>
      <c r="BR409" s="86"/>
      <c r="BS409" s="86"/>
      <c r="BT409" s="86"/>
      <c r="BU409" s="86"/>
    </row>
    <row r="410" spans="15:73"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86"/>
      <c r="AP410" s="86"/>
      <c r="AQ410" s="86"/>
      <c r="AR410" s="86"/>
      <c r="AS410" s="86"/>
      <c r="AT410" s="86"/>
      <c r="AU410" s="86"/>
      <c r="AV410" s="86"/>
      <c r="AW410" s="86"/>
      <c r="AX410" s="86"/>
      <c r="AY410" s="86"/>
      <c r="AZ410" s="86"/>
      <c r="BA410" s="86"/>
      <c r="BB410" s="86"/>
      <c r="BC410" s="86"/>
      <c r="BD410" s="86"/>
      <c r="BE410" s="86"/>
      <c r="BF410" s="86"/>
      <c r="BG410" s="86"/>
      <c r="BH410" s="86"/>
      <c r="BI410" s="86"/>
      <c r="BJ410" s="86"/>
      <c r="BK410" s="86"/>
      <c r="BL410" s="86"/>
      <c r="BM410" s="86"/>
      <c r="BN410" s="86"/>
      <c r="BO410" s="86"/>
      <c r="BP410" s="86"/>
      <c r="BQ410" s="86"/>
      <c r="BR410" s="86"/>
      <c r="BS410" s="86"/>
      <c r="BT410" s="86"/>
      <c r="BU410" s="86"/>
    </row>
    <row r="411" spans="15:73"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86"/>
      <c r="AP411" s="86"/>
      <c r="AQ411" s="86"/>
      <c r="AR411" s="86"/>
      <c r="AS411" s="86"/>
      <c r="AT411" s="86"/>
      <c r="AU411" s="86"/>
      <c r="AV411" s="86"/>
      <c r="AW411" s="86"/>
      <c r="AX411" s="86"/>
      <c r="AY411" s="86"/>
      <c r="AZ411" s="86"/>
      <c r="BA411" s="86"/>
      <c r="BB411" s="86"/>
      <c r="BC411" s="86"/>
      <c r="BD411" s="86"/>
      <c r="BE411" s="86"/>
      <c r="BF411" s="86"/>
      <c r="BG411" s="86"/>
      <c r="BH411" s="86"/>
      <c r="BI411" s="86"/>
      <c r="BJ411" s="86"/>
      <c r="BK411" s="86"/>
      <c r="BL411" s="86"/>
      <c r="BM411" s="86"/>
      <c r="BN411" s="86"/>
      <c r="BO411" s="86"/>
      <c r="BP411" s="86"/>
      <c r="BQ411" s="86"/>
      <c r="BR411" s="86"/>
      <c r="BS411" s="86"/>
      <c r="BT411" s="86"/>
      <c r="BU411" s="86"/>
    </row>
    <row r="412" spans="15:73"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  <c r="AX412" s="86"/>
      <c r="AY412" s="86"/>
      <c r="AZ412" s="86"/>
      <c r="BA412" s="86"/>
      <c r="BB412" s="86"/>
      <c r="BC412" s="86"/>
      <c r="BD412" s="86"/>
      <c r="BE412" s="86"/>
      <c r="BF412" s="86"/>
      <c r="BG412" s="86"/>
      <c r="BH412" s="86"/>
      <c r="BI412" s="86"/>
      <c r="BJ412" s="86"/>
      <c r="BK412" s="86"/>
      <c r="BL412" s="86"/>
      <c r="BM412" s="86"/>
      <c r="BN412" s="86"/>
      <c r="BO412" s="86"/>
      <c r="BP412" s="86"/>
      <c r="BQ412" s="86"/>
      <c r="BR412" s="86"/>
      <c r="BS412" s="86"/>
      <c r="BT412" s="86"/>
      <c r="BU412" s="86"/>
    </row>
    <row r="413" spans="15:73"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  <c r="AQ413" s="86"/>
      <c r="AR413" s="86"/>
      <c r="AS413" s="86"/>
      <c r="AT413" s="86"/>
      <c r="AU413" s="86"/>
      <c r="AV413" s="86"/>
      <c r="AW413" s="86"/>
      <c r="AX413" s="86"/>
      <c r="AY413" s="86"/>
      <c r="AZ413" s="86"/>
      <c r="BA413" s="86"/>
      <c r="BB413" s="86"/>
      <c r="BC413" s="86"/>
      <c r="BD413" s="86"/>
      <c r="BE413" s="86"/>
      <c r="BF413" s="86"/>
      <c r="BG413" s="86"/>
      <c r="BH413" s="86"/>
      <c r="BI413" s="86"/>
      <c r="BJ413" s="86"/>
      <c r="BK413" s="86"/>
      <c r="BL413" s="86"/>
      <c r="BM413" s="86"/>
      <c r="BN413" s="86"/>
      <c r="BO413" s="86"/>
      <c r="BP413" s="86"/>
      <c r="BQ413" s="86"/>
      <c r="BR413" s="86"/>
      <c r="BS413" s="86"/>
      <c r="BT413" s="86"/>
      <c r="BU413" s="86"/>
    </row>
    <row r="414" spans="15:73"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  <c r="AX414" s="86"/>
      <c r="AY414" s="86"/>
      <c r="AZ414" s="86"/>
      <c r="BA414" s="86"/>
      <c r="BB414" s="86"/>
      <c r="BC414" s="86"/>
      <c r="BD414" s="86"/>
      <c r="BE414" s="86"/>
      <c r="BF414" s="86"/>
      <c r="BG414" s="86"/>
      <c r="BH414" s="86"/>
      <c r="BI414" s="86"/>
      <c r="BJ414" s="86"/>
      <c r="BK414" s="86"/>
      <c r="BL414" s="86"/>
      <c r="BM414" s="86"/>
      <c r="BN414" s="86"/>
      <c r="BO414" s="86"/>
      <c r="BP414" s="86"/>
      <c r="BQ414" s="86"/>
      <c r="BR414" s="86"/>
      <c r="BS414" s="86"/>
      <c r="BT414" s="86"/>
      <c r="BU414" s="86"/>
    </row>
    <row r="415" spans="15:73"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86"/>
      <c r="AP415" s="86"/>
      <c r="AQ415" s="86"/>
      <c r="AR415" s="86"/>
      <c r="AS415" s="86"/>
      <c r="AT415" s="86"/>
      <c r="AU415" s="86"/>
      <c r="AV415" s="86"/>
      <c r="AW415" s="86"/>
      <c r="AX415" s="86"/>
      <c r="AY415" s="86"/>
      <c r="AZ415" s="86"/>
      <c r="BA415" s="86"/>
      <c r="BB415" s="86"/>
      <c r="BC415" s="86"/>
      <c r="BD415" s="86"/>
      <c r="BE415" s="86"/>
      <c r="BF415" s="86"/>
      <c r="BG415" s="86"/>
      <c r="BH415" s="86"/>
      <c r="BI415" s="86"/>
      <c r="BJ415" s="86"/>
      <c r="BK415" s="86"/>
      <c r="BL415" s="86"/>
      <c r="BM415" s="86"/>
      <c r="BN415" s="86"/>
      <c r="BO415" s="86"/>
      <c r="BP415" s="86"/>
      <c r="BQ415" s="86"/>
      <c r="BR415" s="86"/>
      <c r="BS415" s="86"/>
      <c r="BT415" s="86"/>
      <c r="BU415" s="86"/>
    </row>
    <row r="416" spans="15:73"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  <c r="AX416" s="86"/>
      <c r="AY416" s="86"/>
      <c r="AZ416" s="86"/>
      <c r="BA416" s="86"/>
      <c r="BB416" s="86"/>
      <c r="BC416" s="86"/>
      <c r="BD416" s="86"/>
      <c r="BE416" s="86"/>
      <c r="BF416" s="86"/>
      <c r="BG416" s="86"/>
      <c r="BH416" s="86"/>
      <c r="BI416" s="86"/>
      <c r="BJ416" s="86"/>
      <c r="BK416" s="86"/>
      <c r="BL416" s="86"/>
      <c r="BM416" s="86"/>
      <c r="BN416" s="86"/>
      <c r="BO416" s="86"/>
      <c r="BP416" s="86"/>
      <c r="BQ416" s="86"/>
      <c r="BR416" s="86"/>
      <c r="BS416" s="86"/>
      <c r="BT416" s="86"/>
      <c r="BU416" s="86"/>
    </row>
    <row r="417" spans="15:73"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AX417" s="86"/>
      <c r="AY417" s="86"/>
      <c r="AZ417" s="86"/>
      <c r="BA417" s="86"/>
      <c r="BB417" s="86"/>
      <c r="BC417" s="86"/>
      <c r="BD417" s="86"/>
      <c r="BE417" s="86"/>
      <c r="BF417" s="86"/>
      <c r="BG417" s="86"/>
      <c r="BH417" s="86"/>
      <c r="BI417" s="86"/>
      <c r="BJ417" s="86"/>
      <c r="BK417" s="86"/>
      <c r="BL417" s="86"/>
      <c r="BM417" s="86"/>
      <c r="BN417" s="86"/>
      <c r="BO417" s="86"/>
      <c r="BP417" s="86"/>
      <c r="BQ417" s="86"/>
      <c r="BR417" s="86"/>
      <c r="BS417" s="86"/>
      <c r="BT417" s="86"/>
      <c r="BU417" s="86"/>
    </row>
    <row r="418" spans="15:73"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  <c r="AX418" s="86"/>
      <c r="AY418" s="86"/>
      <c r="AZ418" s="86"/>
      <c r="BA418" s="86"/>
      <c r="BB418" s="86"/>
      <c r="BC418" s="86"/>
      <c r="BD418" s="86"/>
      <c r="BE418" s="86"/>
      <c r="BF418" s="86"/>
      <c r="BG418" s="86"/>
      <c r="BH418" s="86"/>
      <c r="BI418" s="86"/>
      <c r="BJ418" s="86"/>
      <c r="BK418" s="86"/>
      <c r="BL418" s="86"/>
      <c r="BM418" s="86"/>
      <c r="BN418" s="86"/>
      <c r="BO418" s="86"/>
      <c r="BP418" s="86"/>
      <c r="BQ418" s="86"/>
      <c r="BR418" s="86"/>
      <c r="BS418" s="86"/>
      <c r="BT418" s="86"/>
      <c r="BU418" s="86"/>
    </row>
    <row r="419" spans="15:73"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AX419" s="86"/>
      <c r="AY419" s="86"/>
      <c r="AZ419" s="86"/>
      <c r="BA419" s="86"/>
      <c r="BB419" s="86"/>
      <c r="BC419" s="86"/>
      <c r="BD419" s="86"/>
      <c r="BE419" s="86"/>
      <c r="BF419" s="86"/>
      <c r="BG419" s="86"/>
      <c r="BH419" s="86"/>
      <c r="BI419" s="86"/>
      <c r="BJ419" s="86"/>
      <c r="BK419" s="86"/>
      <c r="BL419" s="86"/>
      <c r="BM419" s="86"/>
      <c r="BN419" s="86"/>
      <c r="BO419" s="86"/>
      <c r="BP419" s="86"/>
      <c r="BQ419" s="86"/>
      <c r="BR419" s="86"/>
      <c r="BS419" s="86"/>
      <c r="BT419" s="86"/>
      <c r="BU419" s="86"/>
    </row>
    <row r="420" spans="15:73"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  <c r="AX420" s="86"/>
      <c r="AY420" s="86"/>
      <c r="AZ420" s="86"/>
      <c r="BA420" s="86"/>
      <c r="BB420" s="86"/>
      <c r="BC420" s="86"/>
      <c r="BD420" s="86"/>
      <c r="BE420" s="86"/>
      <c r="BF420" s="86"/>
      <c r="BG420" s="86"/>
      <c r="BH420" s="86"/>
      <c r="BI420" s="86"/>
      <c r="BJ420" s="86"/>
      <c r="BK420" s="86"/>
      <c r="BL420" s="86"/>
      <c r="BM420" s="86"/>
      <c r="BN420" s="86"/>
      <c r="BO420" s="86"/>
      <c r="BP420" s="86"/>
      <c r="BQ420" s="86"/>
      <c r="BR420" s="86"/>
      <c r="BS420" s="86"/>
      <c r="BT420" s="86"/>
      <c r="BU420" s="86"/>
    </row>
    <row r="421" spans="15:73"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86"/>
      <c r="AY421" s="86"/>
      <c r="AZ421" s="86"/>
      <c r="BA421" s="86"/>
      <c r="BB421" s="86"/>
      <c r="BC421" s="86"/>
      <c r="BD421" s="86"/>
      <c r="BE421" s="86"/>
      <c r="BF421" s="86"/>
      <c r="BG421" s="86"/>
      <c r="BH421" s="86"/>
      <c r="BI421" s="86"/>
      <c r="BJ421" s="86"/>
      <c r="BK421" s="86"/>
      <c r="BL421" s="86"/>
      <c r="BM421" s="86"/>
      <c r="BN421" s="86"/>
      <c r="BO421" s="86"/>
      <c r="BP421" s="86"/>
      <c r="BQ421" s="86"/>
      <c r="BR421" s="86"/>
      <c r="BS421" s="86"/>
      <c r="BT421" s="86"/>
      <c r="BU421" s="86"/>
    </row>
    <row r="422" spans="15:73"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86"/>
      <c r="AY422" s="86"/>
      <c r="AZ422" s="86"/>
      <c r="BA422" s="86"/>
      <c r="BB422" s="86"/>
      <c r="BC422" s="86"/>
      <c r="BD422" s="86"/>
      <c r="BE422" s="86"/>
      <c r="BF422" s="86"/>
      <c r="BG422" s="86"/>
      <c r="BH422" s="86"/>
      <c r="BI422" s="86"/>
      <c r="BJ422" s="86"/>
      <c r="BK422" s="86"/>
      <c r="BL422" s="86"/>
      <c r="BM422" s="86"/>
      <c r="BN422" s="86"/>
      <c r="BO422" s="86"/>
      <c r="BP422" s="86"/>
      <c r="BQ422" s="86"/>
      <c r="BR422" s="86"/>
      <c r="BS422" s="86"/>
      <c r="BT422" s="86"/>
      <c r="BU422" s="86"/>
    </row>
    <row r="423" spans="15:73"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86"/>
      <c r="AY423" s="86"/>
      <c r="AZ423" s="86"/>
      <c r="BA423" s="86"/>
      <c r="BB423" s="86"/>
      <c r="BC423" s="86"/>
      <c r="BD423" s="86"/>
      <c r="BE423" s="86"/>
      <c r="BF423" s="86"/>
      <c r="BG423" s="86"/>
      <c r="BH423" s="86"/>
      <c r="BI423" s="86"/>
      <c r="BJ423" s="86"/>
      <c r="BK423" s="86"/>
      <c r="BL423" s="86"/>
      <c r="BM423" s="86"/>
      <c r="BN423" s="86"/>
      <c r="BO423" s="86"/>
      <c r="BP423" s="86"/>
      <c r="BQ423" s="86"/>
      <c r="BR423" s="86"/>
      <c r="BS423" s="86"/>
      <c r="BT423" s="86"/>
      <c r="BU423" s="86"/>
    </row>
    <row r="424" spans="15:73"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  <c r="AZ424" s="86"/>
      <c r="BA424" s="86"/>
      <c r="BB424" s="86"/>
      <c r="BC424" s="86"/>
      <c r="BD424" s="86"/>
      <c r="BE424" s="86"/>
      <c r="BF424" s="86"/>
      <c r="BG424" s="86"/>
      <c r="BH424" s="86"/>
      <c r="BI424" s="86"/>
      <c r="BJ424" s="86"/>
      <c r="BK424" s="86"/>
      <c r="BL424" s="86"/>
      <c r="BM424" s="86"/>
      <c r="BN424" s="86"/>
      <c r="BO424" s="86"/>
      <c r="BP424" s="86"/>
      <c r="BQ424" s="86"/>
      <c r="BR424" s="86"/>
      <c r="BS424" s="86"/>
      <c r="BT424" s="86"/>
      <c r="BU424" s="86"/>
    </row>
    <row r="425" spans="15:73"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86"/>
      <c r="AY425" s="86"/>
      <c r="AZ425" s="86"/>
      <c r="BA425" s="86"/>
      <c r="BB425" s="86"/>
      <c r="BC425" s="86"/>
      <c r="BD425" s="86"/>
      <c r="BE425" s="86"/>
      <c r="BF425" s="86"/>
      <c r="BG425" s="86"/>
      <c r="BH425" s="86"/>
      <c r="BI425" s="86"/>
      <c r="BJ425" s="86"/>
      <c r="BK425" s="86"/>
      <c r="BL425" s="86"/>
      <c r="BM425" s="86"/>
      <c r="BN425" s="86"/>
      <c r="BO425" s="86"/>
      <c r="BP425" s="86"/>
      <c r="BQ425" s="86"/>
      <c r="BR425" s="86"/>
      <c r="BS425" s="86"/>
      <c r="BT425" s="86"/>
      <c r="BU425" s="86"/>
    </row>
    <row r="426" spans="15:73"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86"/>
      <c r="AY426" s="86"/>
      <c r="AZ426" s="86"/>
      <c r="BA426" s="86"/>
      <c r="BB426" s="86"/>
      <c r="BC426" s="86"/>
      <c r="BD426" s="86"/>
      <c r="BE426" s="86"/>
      <c r="BF426" s="86"/>
      <c r="BG426" s="86"/>
      <c r="BH426" s="86"/>
      <c r="BI426" s="86"/>
      <c r="BJ426" s="86"/>
      <c r="BK426" s="86"/>
      <c r="BL426" s="86"/>
      <c r="BM426" s="86"/>
      <c r="BN426" s="86"/>
      <c r="BO426" s="86"/>
      <c r="BP426" s="86"/>
      <c r="BQ426" s="86"/>
      <c r="BR426" s="86"/>
      <c r="BS426" s="86"/>
      <c r="BT426" s="86"/>
      <c r="BU426" s="86"/>
    </row>
    <row r="427" spans="15:73"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86"/>
      <c r="AY427" s="86"/>
      <c r="AZ427" s="86"/>
      <c r="BA427" s="86"/>
      <c r="BB427" s="86"/>
      <c r="BC427" s="86"/>
      <c r="BD427" s="86"/>
      <c r="BE427" s="86"/>
      <c r="BF427" s="86"/>
      <c r="BG427" s="86"/>
      <c r="BH427" s="86"/>
      <c r="BI427" s="86"/>
      <c r="BJ427" s="86"/>
      <c r="BK427" s="86"/>
      <c r="BL427" s="86"/>
      <c r="BM427" s="86"/>
      <c r="BN427" s="86"/>
      <c r="BO427" s="86"/>
      <c r="BP427" s="86"/>
      <c r="BQ427" s="86"/>
      <c r="BR427" s="86"/>
      <c r="BS427" s="86"/>
      <c r="BT427" s="86"/>
      <c r="BU427" s="86"/>
    </row>
    <row r="428" spans="15:73"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AX428" s="86"/>
      <c r="AY428" s="86"/>
      <c r="AZ428" s="86"/>
      <c r="BA428" s="86"/>
      <c r="BB428" s="86"/>
      <c r="BC428" s="86"/>
      <c r="BD428" s="86"/>
      <c r="BE428" s="86"/>
      <c r="BF428" s="86"/>
      <c r="BG428" s="86"/>
      <c r="BH428" s="86"/>
      <c r="BI428" s="86"/>
      <c r="BJ428" s="86"/>
      <c r="BK428" s="86"/>
      <c r="BL428" s="86"/>
      <c r="BM428" s="86"/>
      <c r="BN428" s="86"/>
      <c r="BO428" s="86"/>
      <c r="BP428" s="86"/>
      <c r="BQ428" s="86"/>
      <c r="BR428" s="86"/>
      <c r="BS428" s="86"/>
      <c r="BT428" s="86"/>
      <c r="BU428" s="86"/>
    </row>
    <row r="429" spans="15:73"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  <c r="AZ429" s="86"/>
      <c r="BA429" s="86"/>
      <c r="BB429" s="86"/>
      <c r="BC429" s="86"/>
      <c r="BD429" s="86"/>
      <c r="BE429" s="86"/>
      <c r="BF429" s="86"/>
      <c r="BG429" s="86"/>
      <c r="BH429" s="86"/>
      <c r="BI429" s="86"/>
      <c r="BJ429" s="86"/>
      <c r="BK429" s="86"/>
      <c r="BL429" s="86"/>
      <c r="BM429" s="86"/>
      <c r="BN429" s="86"/>
      <c r="BO429" s="86"/>
      <c r="BP429" s="86"/>
      <c r="BQ429" s="86"/>
      <c r="BR429" s="86"/>
      <c r="BS429" s="86"/>
      <c r="BT429" s="86"/>
      <c r="BU429" s="86"/>
    </row>
    <row r="430" spans="15:73"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  <c r="AZ430" s="86"/>
      <c r="BA430" s="86"/>
      <c r="BB430" s="86"/>
      <c r="BC430" s="86"/>
      <c r="BD430" s="86"/>
      <c r="BE430" s="86"/>
      <c r="BF430" s="86"/>
      <c r="BG430" s="86"/>
      <c r="BH430" s="86"/>
      <c r="BI430" s="86"/>
      <c r="BJ430" s="86"/>
      <c r="BK430" s="86"/>
      <c r="BL430" s="86"/>
      <c r="BM430" s="86"/>
      <c r="BN430" s="86"/>
      <c r="BO430" s="86"/>
      <c r="BP430" s="86"/>
      <c r="BQ430" s="86"/>
      <c r="BR430" s="86"/>
      <c r="BS430" s="86"/>
      <c r="BT430" s="86"/>
      <c r="BU430" s="86"/>
    </row>
    <row r="431" spans="15:73"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86"/>
      <c r="AY431" s="86"/>
      <c r="AZ431" s="86"/>
      <c r="BA431" s="86"/>
      <c r="BB431" s="86"/>
      <c r="BC431" s="86"/>
      <c r="BD431" s="86"/>
      <c r="BE431" s="86"/>
      <c r="BF431" s="86"/>
      <c r="BG431" s="86"/>
      <c r="BH431" s="86"/>
      <c r="BI431" s="86"/>
      <c r="BJ431" s="86"/>
      <c r="BK431" s="86"/>
      <c r="BL431" s="86"/>
      <c r="BM431" s="86"/>
      <c r="BN431" s="86"/>
      <c r="BO431" s="86"/>
      <c r="BP431" s="86"/>
      <c r="BQ431" s="86"/>
      <c r="BR431" s="86"/>
      <c r="BS431" s="86"/>
      <c r="BT431" s="86"/>
      <c r="BU431" s="86"/>
    </row>
    <row r="432" spans="15:73"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86"/>
      <c r="AY432" s="86"/>
      <c r="AZ432" s="86"/>
      <c r="BA432" s="86"/>
      <c r="BB432" s="86"/>
      <c r="BC432" s="86"/>
      <c r="BD432" s="86"/>
      <c r="BE432" s="86"/>
      <c r="BF432" s="86"/>
      <c r="BG432" s="86"/>
      <c r="BH432" s="86"/>
      <c r="BI432" s="86"/>
      <c r="BJ432" s="86"/>
      <c r="BK432" s="86"/>
      <c r="BL432" s="86"/>
      <c r="BM432" s="86"/>
      <c r="BN432" s="86"/>
      <c r="BO432" s="86"/>
      <c r="BP432" s="86"/>
      <c r="BQ432" s="86"/>
      <c r="BR432" s="86"/>
      <c r="BS432" s="86"/>
      <c r="BT432" s="86"/>
      <c r="BU432" s="86"/>
    </row>
    <row r="433" spans="15:73"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86"/>
      <c r="AY433" s="86"/>
      <c r="AZ433" s="86"/>
      <c r="BA433" s="86"/>
      <c r="BB433" s="86"/>
      <c r="BC433" s="86"/>
      <c r="BD433" s="86"/>
      <c r="BE433" s="86"/>
      <c r="BF433" s="86"/>
      <c r="BG433" s="86"/>
      <c r="BH433" s="86"/>
      <c r="BI433" s="86"/>
      <c r="BJ433" s="86"/>
      <c r="BK433" s="86"/>
      <c r="BL433" s="86"/>
      <c r="BM433" s="86"/>
      <c r="BN433" s="86"/>
      <c r="BO433" s="86"/>
      <c r="BP433" s="86"/>
      <c r="BQ433" s="86"/>
      <c r="BR433" s="86"/>
      <c r="BS433" s="86"/>
      <c r="BT433" s="86"/>
      <c r="BU433" s="86"/>
    </row>
    <row r="434" spans="15:73"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86"/>
      <c r="AY434" s="86"/>
      <c r="AZ434" s="86"/>
      <c r="BA434" s="86"/>
      <c r="BB434" s="86"/>
      <c r="BC434" s="86"/>
      <c r="BD434" s="86"/>
      <c r="BE434" s="86"/>
      <c r="BF434" s="86"/>
      <c r="BG434" s="86"/>
      <c r="BH434" s="86"/>
      <c r="BI434" s="86"/>
      <c r="BJ434" s="86"/>
      <c r="BK434" s="86"/>
      <c r="BL434" s="86"/>
      <c r="BM434" s="86"/>
      <c r="BN434" s="86"/>
      <c r="BO434" s="86"/>
      <c r="BP434" s="86"/>
      <c r="BQ434" s="86"/>
      <c r="BR434" s="86"/>
      <c r="BS434" s="86"/>
      <c r="BT434" s="86"/>
      <c r="BU434" s="86"/>
    </row>
    <row r="435" spans="15:73"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86"/>
      <c r="AY435" s="86"/>
      <c r="AZ435" s="86"/>
      <c r="BA435" s="86"/>
      <c r="BB435" s="86"/>
      <c r="BC435" s="86"/>
      <c r="BD435" s="86"/>
      <c r="BE435" s="86"/>
      <c r="BF435" s="86"/>
      <c r="BG435" s="86"/>
      <c r="BH435" s="86"/>
      <c r="BI435" s="86"/>
      <c r="BJ435" s="86"/>
      <c r="BK435" s="86"/>
      <c r="BL435" s="86"/>
      <c r="BM435" s="86"/>
      <c r="BN435" s="86"/>
      <c r="BO435" s="86"/>
      <c r="BP435" s="86"/>
      <c r="BQ435" s="86"/>
      <c r="BR435" s="86"/>
      <c r="BS435" s="86"/>
      <c r="BT435" s="86"/>
      <c r="BU435" s="86"/>
    </row>
    <row r="436" spans="15:73"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  <c r="AZ436" s="86"/>
      <c r="BA436" s="86"/>
      <c r="BB436" s="86"/>
      <c r="BC436" s="86"/>
      <c r="BD436" s="86"/>
      <c r="BE436" s="86"/>
      <c r="BF436" s="86"/>
      <c r="BG436" s="86"/>
      <c r="BH436" s="86"/>
      <c r="BI436" s="86"/>
      <c r="BJ436" s="86"/>
      <c r="BK436" s="86"/>
      <c r="BL436" s="86"/>
      <c r="BM436" s="86"/>
      <c r="BN436" s="86"/>
      <c r="BO436" s="86"/>
      <c r="BP436" s="86"/>
      <c r="BQ436" s="86"/>
      <c r="BR436" s="86"/>
      <c r="BS436" s="86"/>
      <c r="BT436" s="86"/>
      <c r="BU436" s="86"/>
    </row>
    <row r="437" spans="15:73"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AX437" s="86"/>
      <c r="AY437" s="86"/>
      <c r="AZ437" s="86"/>
      <c r="BA437" s="86"/>
      <c r="BB437" s="86"/>
      <c r="BC437" s="86"/>
      <c r="BD437" s="86"/>
      <c r="BE437" s="86"/>
      <c r="BF437" s="86"/>
      <c r="BG437" s="86"/>
      <c r="BH437" s="86"/>
      <c r="BI437" s="86"/>
      <c r="BJ437" s="86"/>
      <c r="BK437" s="86"/>
      <c r="BL437" s="86"/>
      <c r="BM437" s="86"/>
      <c r="BN437" s="86"/>
      <c r="BO437" s="86"/>
      <c r="BP437" s="86"/>
      <c r="BQ437" s="86"/>
      <c r="BR437" s="86"/>
      <c r="BS437" s="86"/>
      <c r="BT437" s="86"/>
      <c r="BU437" s="86"/>
    </row>
    <row r="438" spans="15:73"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AX438" s="86"/>
      <c r="AY438" s="86"/>
      <c r="AZ438" s="86"/>
      <c r="BA438" s="86"/>
      <c r="BB438" s="86"/>
      <c r="BC438" s="86"/>
      <c r="BD438" s="86"/>
      <c r="BE438" s="86"/>
      <c r="BF438" s="86"/>
      <c r="BG438" s="86"/>
      <c r="BH438" s="86"/>
      <c r="BI438" s="86"/>
      <c r="BJ438" s="86"/>
      <c r="BK438" s="86"/>
      <c r="BL438" s="86"/>
      <c r="BM438" s="86"/>
      <c r="BN438" s="86"/>
      <c r="BO438" s="86"/>
      <c r="BP438" s="86"/>
      <c r="BQ438" s="86"/>
      <c r="BR438" s="86"/>
      <c r="BS438" s="86"/>
      <c r="BT438" s="86"/>
      <c r="BU438" s="86"/>
    </row>
    <row r="439" spans="15:73"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AX439" s="86"/>
      <c r="AY439" s="86"/>
      <c r="AZ439" s="86"/>
      <c r="BA439" s="86"/>
      <c r="BB439" s="86"/>
      <c r="BC439" s="86"/>
      <c r="BD439" s="86"/>
      <c r="BE439" s="86"/>
      <c r="BF439" s="86"/>
      <c r="BG439" s="86"/>
      <c r="BH439" s="86"/>
      <c r="BI439" s="86"/>
      <c r="BJ439" s="86"/>
      <c r="BK439" s="86"/>
      <c r="BL439" s="86"/>
      <c r="BM439" s="86"/>
      <c r="BN439" s="86"/>
      <c r="BO439" s="86"/>
      <c r="BP439" s="86"/>
      <c r="BQ439" s="86"/>
      <c r="BR439" s="86"/>
      <c r="BS439" s="86"/>
      <c r="BT439" s="86"/>
      <c r="BU439" s="86"/>
    </row>
    <row r="440" spans="15:73"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  <c r="AX440" s="86"/>
      <c r="AY440" s="86"/>
      <c r="AZ440" s="86"/>
      <c r="BA440" s="86"/>
      <c r="BB440" s="86"/>
      <c r="BC440" s="86"/>
      <c r="BD440" s="86"/>
      <c r="BE440" s="86"/>
      <c r="BF440" s="86"/>
      <c r="BG440" s="86"/>
      <c r="BH440" s="86"/>
      <c r="BI440" s="86"/>
      <c r="BJ440" s="86"/>
      <c r="BK440" s="86"/>
      <c r="BL440" s="86"/>
      <c r="BM440" s="86"/>
      <c r="BN440" s="86"/>
      <c r="BO440" s="86"/>
      <c r="BP440" s="86"/>
      <c r="BQ440" s="86"/>
      <c r="BR440" s="86"/>
      <c r="BS440" s="86"/>
      <c r="BT440" s="86"/>
      <c r="BU440" s="86"/>
    </row>
    <row r="441" spans="15:73"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  <c r="AX441" s="86"/>
      <c r="AY441" s="86"/>
      <c r="AZ441" s="86"/>
      <c r="BA441" s="86"/>
      <c r="BB441" s="86"/>
      <c r="BC441" s="86"/>
      <c r="BD441" s="86"/>
      <c r="BE441" s="86"/>
      <c r="BF441" s="86"/>
      <c r="BG441" s="86"/>
      <c r="BH441" s="86"/>
      <c r="BI441" s="86"/>
      <c r="BJ441" s="86"/>
      <c r="BK441" s="86"/>
      <c r="BL441" s="86"/>
      <c r="BM441" s="86"/>
      <c r="BN441" s="86"/>
      <c r="BO441" s="86"/>
      <c r="BP441" s="86"/>
      <c r="BQ441" s="86"/>
      <c r="BR441" s="86"/>
      <c r="BS441" s="86"/>
      <c r="BT441" s="86"/>
      <c r="BU441" s="86"/>
    </row>
    <row r="442" spans="15:73"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AX442" s="86"/>
      <c r="AY442" s="86"/>
      <c r="AZ442" s="86"/>
      <c r="BA442" s="86"/>
      <c r="BB442" s="86"/>
      <c r="BC442" s="86"/>
      <c r="BD442" s="86"/>
      <c r="BE442" s="86"/>
      <c r="BF442" s="86"/>
      <c r="BG442" s="86"/>
      <c r="BH442" s="86"/>
      <c r="BI442" s="86"/>
      <c r="BJ442" s="86"/>
      <c r="BK442" s="86"/>
      <c r="BL442" s="86"/>
      <c r="BM442" s="86"/>
      <c r="BN442" s="86"/>
      <c r="BO442" s="86"/>
      <c r="BP442" s="86"/>
      <c r="BQ442" s="86"/>
      <c r="BR442" s="86"/>
      <c r="BS442" s="86"/>
      <c r="BT442" s="86"/>
      <c r="BU442" s="86"/>
    </row>
    <row r="443" spans="15:73"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86"/>
      <c r="AY443" s="86"/>
      <c r="AZ443" s="86"/>
      <c r="BA443" s="86"/>
      <c r="BB443" s="86"/>
      <c r="BC443" s="86"/>
      <c r="BD443" s="86"/>
      <c r="BE443" s="86"/>
      <c r="BF443" s="86"/>
      <c r="BG443" s="86"/>
      <c r="BH443" s="86"/>
      <c r="BI443" s="86"/>
      <c r="BJ443" s="86"/>
      <c r="BK443" s="86"/>
      <c r="BL443" s="86"/>
      <c r="BM443" s="86"/>
      <c r="BN443" s="86"/>
      <c r="BO443" s="86"/>
      <c r="BP443" s="86"/>
      <c r="BQ443" s="86"/>
      <c r="BR443" s="86"/>
      <c r="BS443" s="86"/>
      <c r="BT443" s="86"/>
      <c r="BU443" s="86"/>
    </row>
    <row r="444" spans="15:73"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  <c r="AX444" s="86"/>
      <c r="AY444" s="86"/>
      <c r="AZ444" s="86"/>
      <c r="BA444" s="86"/>
      <c r="BB444" s="86"/>
      <c r="BC444" s="86"/>
      <c r="BD444" s="86"/>
      <c r="BE444" s="86"/>
      <c r="BF444" s="86"/>
      <c r="BG444" s="86"/>
      <c r="BH444" s="86"/>
      <c r="BI444" s="86"/>
      <c r="BJ444" s="86"/>
      <c r="BK444" s="86"/>
      <c r="BL444" s="86"/>
      <c r="BM444" s="86"/>
      <c r="BN444" s="86"/>
      <c r="BO444" s="86"/>
      <c r="BP444" s="86"/>
      <c r="BQ444" s="86"/>
      <c r="BR444" s="86"/>
      <c r="BS444" s="86"/>
      <c r="BT444" s="86"/>
      <c r="BU444" s="86"/>
    </row>
    <row r="445" spans="15:73"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86"/>
      <c r="AY445" s="86"/>
      <c r="AZ445" s="86"/>
      <c r="BA445" s="86"/>
      <c r="BB445" s="86"/>
      <c r="BC445" s="86"/>
      <c r="BD445" s="86"/>
      <c r="BE445" s="86"/>
      <c r="BF445" s="86"/>
      <c r="BG445" s="86"/>
      <c r="BH445" s="86"/>
      <c r="BI445" s="86"/>
      <c r="BJ445" s="86"/>
      <c r="BK445" s="86"/>
      <c r="BL445" s="86"/>
      <c r="BM445" s="86"/>
      <c r="BN445" s="86"/>
      <c r="BO445" s="86"/>
      <c r="BP445" s="86"/>
      <c r="BQ445" s="86"/>
      <c r="BR445" s="86"/>
      <c r="BS445" s="86"/>
      <c r="BT445" s="86"/>
      <c r="BU445" s="86"/>
    </row>
    <row r="446" spans="15:73"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86"/>
      <c r="AY446" s="86"/>
      <c r="AZ446" s="86"/>
      <c r="BA446" s="86"/>
      <c r="BB446" s="86"/>
      <c r="BC446" s="86"/>
      <c r="BD446" s="86"/>
      <c r="BE446" s="86"/>
      <c r="BF446" s="86"/>
      <c r="BG446" s="86"/>
      <c r="BH446" s="86"/>
      <c r="BI446" s="86"/>
      <c r="BJ446" s="86"/>
      <c r="BK446" s="86"/>
      <c r="BL446" s="86"/>
      <c r="BM446" s="86"/>
      <c r="BN446" s="86"/>
      <c r="BO446" s="86"/>
      <c r="BP446" s="86"/>
      <c r="BQ446" s="86"/>
      <c r="BR446" s="86"/>
      <c r="BS446" s="86"/>
      <c r="BT446" s="86"/>
      <c r="BU446" s="86"/>
    </row>
    <row r="447" spans="15:73"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86"/>
      <c r="AY447" s="86"/>
      <c r="AZ447" s="86"/>
      <c r="BA447" s="86"/>
      <c r="BB447" s="86"/>
      <c r="BC447" s="86"/>
      <c r="BD447" s="86"/>
      <c r="BE447" s="86"/>
      <c r="BF447" s="86"/>
      <c r="BG447" s="86"/>
      <c r="BH447" s="86"/>
      <c r="BI447" s="86"/>
      <c r="BJ447" s="86"/>
      <c r="BK447" s="86"/>
      <c r="BL447" s="86"/>
      <c r="BM447" s="86"/>
      <c r="BN447" s="86"/>
      <c r="BO447" s="86"/>
      <c r="BP447" s="86"/>
      <c r="BQ447" s="86"/>
      <c r="BR447" s="86"/>
      <c r="BS447" s="86"/>
      <c r="BT447" s="86"/>
      <c r="BU447" s="86"/>
    </row>
    <row r="448" spans="15:73"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AX448" s="86"/>
      <c r="AY448" s="86"/>
      <c r="AZ448" s="86"/>
      <c r="BA448" s="86"/>
      <c r="BB448" s="86"/>
      <c r="BC448" s="86"/>
      <c r="BD448" s="86"/>
      <c r="BE448" s="86"/>
      <c r="BF448" s="86"/>
      <c r="BG448" s="86"/>
      <c r="BH448" s="86"/>
      <c r="BI448" s="86"/>
      <c r="BJ448" s="86"/>
      <c r="BK448" s="86"/>
      <c r="BL448" s="86"/>
      <c r="BM448" s="86"/>
      <c r="BN448" s="86"/>
      <c r="BO448" s="86"/>
      <c r="BP448" s="86"/>
      <c r="BQ448" s="86"/>
      <c r="BR448" s="86"/>
      <c r="BS448" s="86"/>
      <c r="BT448" s="86"/>
      <c r="BU448" s="86"/>
    </row>
    <row r="449" spans="15:73"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AX449" s="86"/>
      <c r="AY449" s="86"/>
      <c r="AZ449" s="86"/>
      <c r="BA449" s="86"/>
      <c r="BB449" s="86"/>
      <c r="BC449" s="86"/>
      <c r="BD449" s="86"/>
      <c r="BE449" s="86"/>
      <c r="BF449" s="86"/>
      <c r="BG449" s="86"/>
      <c r="BH449" s="86"/>
      <c r="BI449" s="86"/>
      <c r="BJ449" s="86"/>
      <c r="BK449" s="86"/>
      <c r="BL449" s="86"/>
      <c r="BM449" s="86"/>
      <c r="BN449" s="86"/>
      <c r="BO449" s="86"/>
      <c r="BP449" s="86"/>
      <c r="BQ449" s="86"/>
      <c r="BR449" s="86"/>
      <c r="BS449" s="86"/>
      <c r="BT449" s="86"/>
      <c r="BU449" s="86"/>
    </row>
    <row r="450" spans="15:73"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86"/>
      <c r="AY450" s="86"/>
      <c r="AZ450" s="86"/>
      <c r="BA450" s="86"/>
      <c r="BB450" s="86"/>
      <c r="BC450" s="86"/>
      <c r="BD450" s="86"/>
      <c r="BE450" s="86"/>
      <c r="BF450" s="86"/>
      <c r="BG450" s="86"/>
      <c r="BH450" s="86"/>
      <c r="BI450" s="86"/>
      <c r="BJ450" s="86"/>
      <c r="BK450" s="86"/>
      <c r="BL450" s="86"/>
      <c r="BM450" s="86"/>
      <c r="BN450" s="86"/>
      <c r="BO450" s="86"/>
      <c r="BP450" s="86"/>
      <c r="BQ450" s="86"/>
      <c r="BR450" s="86"/>
      <c r="BS450" s="86"/>
      <c r="BT450" s="86"/>
      <c r="BU450" s="86"/>
    </row>
    <row r="451" spans="15:73"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  <c r="AX451" s="86"/>
      <c r="AY451" s="86"/>
      <c r="AZ451" s="86"/>
      <c r="BA451" s="86"/>
      <c r="BB451" s="86"/>
      <c r="BC451" s="86"/>
      <c r="BD451" s="86"/>
      <c r="BE451" s="86"/>
      <c r="BF451" s="86"/>
      <c r="BG451" s="86"/>
      <c r="BH451" s="86"/>
      <c r="BI451" s="86"/>
      <c r="BJ451" s="86"/>
      <c r="BK451" s="86"/>
      <c r="BL451" s="86"/>
      <c r="BM451" s="86"/>
      <c r="BN451" s="86"/>
      <c r="BO451" s="86"/>
      <c r="BP451" s="86"/>
      <c r="BQ451" s="86"/>
      <c r="BR451" s="86"/>
      <c r="BS451" s="86"/>
      <c r="BT451" s="86"/>
      <c r="BU451" s="86"/>
    </row>
    <row r="452" spans="15:73"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  <c r="AX452" s="86"/>
      <c r="AY452" s="86"/>
      <c r="AZ452" s="86"/>
      <c r="BA452" s="86"/>
      <c r="BB452" s="86"/>
      <c r="BC452" s="86"/>
      <c r="BD452" s="86"/>
      <c r="BE452" s="86"/>
      <c r="BF452" s="86"/>
      <c r="BG452" s="86"/>
      <c r="BH452" s="86"/>
      <c r="BI452" s="86"/>
      <c r="BJ452" s="86"/>
      <c r="BK452" s="86"/>
      <c r="BL452" s="86"/>
      <c r="BM452" s="86"/>
      <c r="BN452" s="86"/>
      <c r="BO452" s="86"/>
      <c r="BP452" s="86"/>
      <c r="BQ452" s="86"/>
      <c r="BR452" s="86"/>
      <c r="BS452" s="86"/>
      <c r="BT452" s="86"/>
      <c r="BU452" s="86"/>
    </row>
    <row r="453" spans="15:73"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  <c r="AX453" s="86"/>
      <c r="AY453" s="86"/>
      <c r="AZ453" s="86"/>
      <c r="BA453" s="86"/>
      <c r="BB453" s="86"/>
      <c r="BC453" s="86"/>
      <c r="BD453" s="86"/>
      <c r="BE453" s="86"/>
      <c r="BF453" s="86"/>
      <c r="BG453" s="86"/>
      <c r="BH453" s="86"/>
      <c r="BI453" s="86"/>
      <c r="BJ453" s="86"/>
      <c r="BK453" s="86"/>
      <c r="BL453" s="86"/>
      <c r="BM453" s="86"/>
      <c r="BN453" s="86"/>
      <c r="BO453" s="86"/>
      <c r="BP453" s="86"/>
      <c r="BQ453" s="86"/>
      <c r="BR453" s="86"/>
      <c r="BS453" s="86"/>
      <c r="BT453" s="86"/>
      <c r="BU453" s="86"/>
    </row>
    <row r="454" spans="15:73"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  <c r="AO454" s="86"/>
      <c r="AP454" s="86"/>
      <c r="AQ454" s="86"/>
      <c r="AR454" s="86"/>
      <c r="AS454" s="86"/>
      <c r="AT454" s="86"/>
      <c r="AU454" s="86"/>
      <c r="AV454" s="86"/>
      <c r="AW454" s="86"/>
      <c r="AX454" s="86"/>
      <c r="AY454" s="86"/>
      <c r="AZ454" s="86"/>
      <c r="BA454" s="86"/>
      <c r="BB454" s="86"/>
      <c r="BC454" s="86"/>
      <c r="BD454" s="86"/>
      <c r="BE454" s="86"/>
      <c r="BF454" s="86"/>
      <c r="BG454" s="86"/>
      <c r="BH454" s="86"/>
      <c r="BI454" s="86"/>
      <c r="BJ454" s="86"/>
      <c r="BK454" s="86"/>
      <c r="BL454" s="86"/>
      <c r="BM454" s="86"/>
      <c r="BN454" s="86"/>
      <c r="BO454" s="86"/>
      <c r="BP454" s="86"/>
      <c r="BQ454" s="86"/>
      <c r="BR454" s="86"/>
      <c r="BS454" s="86"/>
      <c r="BT454" s="86"/>
      <c r="BU454" s="86"/>
    </row>
    <row r="455" spans="15:73"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  <c r="AX455" s="86"/>
      <c r="AY455" s="86"/>
      <c r="AZ455" s="86"/>
      <c r="BA455" s="86"/>
      <c r="BB455" s="86"/>
      <c r="BC455" s="86"/>
      <c r="BD455" s="86"/>
      <c r="BE455" s="86"/>
      <c r="BF455" s="86"/>
      <c r="BG455" s="86"/>
      <c r="BH455" s="86"/>
      <c r="BI455" s="86"/>
      <c r="BJ455" s="86"/>
      <c r="BK455" s="86"/>
      <c r="BL455" s="86"/>
      <c r="BM455" s="86"/>
      <c r="BN455" s="86"/>
      <c r="BO455" s="86"/>
      <c r="BP455" s="86"/>
      <c r="BQ455" s="86"/>
      <c r="BR455" s="86"/>
      <c r="BS455" s="86"/>
      <c r="BT455" s="86"/>
      <c r="BU455" s="86"/>
    </row>
    <row r="456" spans="15:73"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  <c r="AX456" s="86"/>
      <c r="AY456" s="86"/>
      <c r="AZ456" s="86"/>
      <c r="BA456" s="86"/>
      <c r="BB456" s="86"/>
      <c r="BC456" s="86"/>
      <c r="BD456" s="86"/>
      <c r="BE456" s="86"/>
      <c r="BF456" s="86"/>
      <c r="BG456" s="86"/>
      <c r="BH456" s="86"/>
      <c r="BI456" s="86"/>
      <c r="BJ456" s="86"/>
      <c r="BK456" s="86"/>
      <c r="BL456" s="86"/>
      <c r="BM456" s="86"/>
      <c r="BN456" s="86"/>
      <c r="BO456" s="86"/>
      <c r="BP456" s="86"/>
      <c r="BQ456" s="86"/>
      <c r="BR456" s="86"/>
      <c r="BS456" s="86"/>
      <c r="BT456" s="86"/>
      <c r="BU456" s="86"/>
    </row>
    <row r="457" spans="15:73"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  <c r="AX457" s="86"/>
      <c r="AY457" s="86"/>
      <c r="AZ457" s="86"/>
      <c r="BA457" s="86"/>
      <c r="BB457" s="86"/>
      <c r="BC457" s="86"/>
      <c r="BD457" s="86"/>
      <c r="BE457" s="86"/>
      <c r="BF457" s="86"/>
      <c r="BG457" s="86"/>
      <c r="BH457" s="86"/>
      <c r="BI457" s="86"/>
      <c r="BJ457" s="86"/>
      <c r="BK457" s="86"/>
      <c r="BL457" s="86"/>
      <c r="BM457" s="86"/>
      <c r="BN457" s="86"/>
      <c r="BO457" s="86"/>
      <c r="BP457" s="86"/>
      <c r="BQ457" s="86"/>
      <c r="BR457" s="86"/>
      <c r="BS457" s="86"/>
      <c r="BT457" s="86"/>
      <c r="BU457" s="86"/>
    </row>
    <row r="458" spans="15:73"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  <c r="AO458" s="86"/>
      <c r="AP458" s="86"/>
      <c r="AQ458" s="86"/>
      <c r="AR458" s="86"/>
      <c r="AS458" s="86"/>
      <c r="AT458" s="86"/>
      <c r="AU458" s="86"/>
      <c r="AV458" s="86"/>
      <c r="AW458" s="86"/>
      <c r="AX458" s="86"/>
      <c r="AY458" s="86"/>
      <c r="AZ458" s="86"/>
      <c r="BA458" s="86"/>
      <c r="BB458" s="86"/>
      <c r="BC458" s="86"/>
      <c r="BD458" s="86"/>
      <c r="BE458" s="86"/>
      <c r="BF458" s="86"/>
      <c r="BG458" s="86"/>
      <c r="BH458" s="86"/>
      <c r="BI458" s="86"/>
      <c r="BJ458" s="86"/>
      <c r="BK458" s="86"/>
      <c r="BL458" s="86"/>
      <c r="BM458" s="86"/>
      <c r="BN458" s="86"/>
      <c r="BO458" s="86"/>
      <c r="BP458" s="86"/>
      <c r="BQ458" s="86"/>
      <c r="BR458" s="86"/>
      <c r="BS458" s="86"/>
      <c r="BT458" s="86"/>
      <c r="BU458" s="86"/>
    </row>
    <row r="459" spans="15:73"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  <c r="AO459" s="86"/>
      <c r="AP459" s="86"/>
      <c r="AQ459" s="86"/>
      <c r="AR459" s="86"/>
      <c r="AS459" s="86"/>
      <c r="AT459" s="86"/>
      <c r="AU459" s="86"/>
      <c r="AV459" s="86"/>
      <c r="AW459" s="86"/>
      <c r="AX459" s="86"/>
      <c r="AY459" s="86"/>
      <c r="AZ459" s="86"/>
      <c r="BA459" s="86"/>
      <c r="BB459" s="86"/>
      <c r="BC459" s="86"/>
      <c r="BD459" s="86"/>
      <c r="BE459" s="86"/>
      <c r="BF459" s="86"/>
      <c r="BG459" s="86"/>
      <c r="BH459" s="86"/>
      <c r="BI459" s="86"/>
      <c r="BJ459" s="86"/>
      <c r="BK459" s="86"/>
      <c r="BL459" s="86"/>
      <c r="BM459" s="86"/>
      <c r="BN459" s="86"/>
      <c r="BO459" s="86"/>
      <c r="BP459" s="86"/>
      <c r="BQ459" s="86"/>
      <c r="BR459" s="86"/>
      <c r="BS459" s="86"/>
      <c r="BT459" s="86"/>
      <c r="BU459" s="86"/>
    </row>
    <row r="460" spans="15:73"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86"/>
      <c r="AO460" s="86"/>
      <c r="AP460" s="86"/>
      <c r="AQ460" s="86"/>
      <c r="AR460" s="86"/>
      <c r="AS460" s="86"/>
      <c r="AT460" s="86"/>
      <c r="AU460" s="86"/>
      <c r="AV460" s="86"/>
      <c r="AW460" s="86"/>
      <c r="AX460" s="86"/>
      <c r="AY460" s="86"/>
      <c r="AZ460" s="86"/>
      <c r="BA460" s="86"/>
      <c r="BB460" s="86"/>
      <c r="BC460" s="86"/>
      <c r="BD460" s="86"/>
      <c r="BE460" s="86"/>
      <c r="BF460" s="86"/>
      <c r="BG460" s="86"/>
      <c r="BH460" s="86"/>
      <c r="BI460" s="86"/>
      <c r="BJ460" s="86"/>
      <c r="BK460" s="86"/>
      <c r="BL460" s="86"/>
      <c r="BM460" s="86"/>
      <c r="BN460" s="86"/>
      <c r="BO460" s="86"/>
      <c r="BP460" s="86"/>
      <c r="BQ460" s="86"/>
      <c r="BR460" s="86"/>
      <c r="BS460" s="86"/>
      <c r="BT460" s="86"/>
      <c r="BU460" s="86"/>
    </row>
    <row r="461" spans="15:73"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  <c r="AO461" s="86"/>
      <c r="AP461" s="86"/>
      <c r="AQ461" s="86"/>
      <c r="AR461" s="86"/>
      <c r="AS461" s="86"/>
      <c r="AT461" s="86"/>
      <c r="AU461" s="86"/>
      <c r="AV461" s="86"/>
      <c r="AW461" s="86"/>
      <c r="AX461" s="86"/>
      <c r="AY461" s="86"/>
      <c r="AZ461" s="86"/>
      <c r="BA461" s="86"/>
      <c r="BB461" s="86"/>
      <c r="BC461" s="86"/>
      <c r="BD461" s="86"/>
      <c r="BE461" s="86"/>
      <c r="BF461" s="86"/>
      <c r="BG461" s="86"/>
      <c r="BH461" s="86"/>
      <c r="BI461" s="86"/>
      <c r="BJ461" s="86"/>
      <c r="BK461" s="86"/>
      <c r="BL461" s="86"/>
      <c r="BM461" s="86"/>
      <c r="BN461" s="86"/>
      <c r="BO461" s="86"/>
      <c r="BP461" s="86"/>
      <c r="BQ461" s="86"/>
      <c r="BR461" s="86"/>
      <c r="BS461" s="86"/>
      <c r="BT461" s="86"/>
      <c r="BU461" s="86"/>
    </row>
    <row r="462" spans="15:73"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  <c r="AO462" s="86"/>
      <c r="AP462" s="86"/>
      <c r="AQ462" s="86"/>
      <c r="AR462" s="86"/>
      <c r="AS462" s="86"/>
      <c r="AT462" s="86"/>
      <c r="AU462" s="86"/>
      <c r="AV462" s="86"/>
      <c r="AW462" s="86"/>
      <c r="AX462" s="86"/>
      <c r="AY462" s="86"/>
      <c r="AZ462" s="86"/>
      <c r="BA462" s="86"/>
      <c r="BB462" s="86"/>
      <c r="BC462" s="86"/>
      <c r="BD462" s="86"/>
      <c r="BE462" s="86"/>
      <c r="BF462" s="86"/>
      <c r="BG462" s="86"/>
      <c r="BH462" s="86"/>
      <c r="BI462" s="86"/>
      <c r="BJ462" s="86"/>
      <c r="BK462" s="86"/>
      <c r="BL462" s="86"/>
      <c r="BM462" s="86"/>
      <c r="BN462" s="86"/>
      <c r="BO462" s="86"/>
      <c r="BP462" s="86"/>
      <c r="BQ462" s="86"/>
      <c r="BR462" s="86"/>
      <c r="BS462" s="86"/>
      <c r="BT462" s="86"/>
      <c r="BU462" s="86"/>
    </row>
    <row r="463" spans="15:73"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  <c r="AX463" s="86"/>
      <c r="AY463" s="86"/>
      <c r="AZ463" s="86"/>
      <c r="BA463" s="86"/>
      <c r="BB463" s="86"/>
      <c r="BC463" s="86"/>
      <c r="BD463" s="86"/>
      <c r="BE463" s="86"/>
      <c r="BF463" s="86"/>
      <c r="BG463" s="86"/>
      <c r="BH463" s="86"/>
      <c r="BI463" s="86"/>
      <c r="BJ463" s="86"/>
      <c r="BK463" s="86"/>
      <c r="BL463" s="86"/>
      <c r="BM463" s="86"/>
      <c r="BN463" s="86"/>
      <c r="BO463" s="86"/>
      <c r="BP463" s="86"/>
      <c r="BQ463" s="86"/>
      <c r="BR463" s="86"/>
      <c r="BS463" s="86"/>
      <c r="BT463" s="86"/>
      <c r="BU463" s="86"/>
    </row>
    <row r="464" spans="15:73"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86"/>
      <c r="AP464" s="86"/>
      <c r="AQ464" s="86"/>
      <c r="AR464" s="86"/>
      <c r="AS464" s="86"/>
      <c r="AT464" s="86"/>
      <c r="AU464" s="86"/>
      <c r="AV464" s="86"/>
      <c r="AW464" s="86"/>
      <c r="AX464" s="86"/>
      <c r="AY464" s="86"/>
      <c r="AZ464" s="86"/>
      <c r="BA464" s="86"/>
      <c r="BB464" s="86"/>
      <c r="BC464" s="86"/>
      <c r="BD464" s="86"/>
      <c r="BE464" s="86"/>
      <c r="BF464" s="86"/>
      <c r="BG464" s="86"/>
      <c r="BH464" s="86"/>
      <c r="BI464" s="86"/>
      <c r="BJ464" s="86"/>
      <c r="BK464" s="86"/>
      <c r="BL464" s="86"/>
      <c r="BM464" s="86"/>
      <c r="BN464" s="86"/>
      <c r="BO464" s="86"/>
      <c r="BP464" s="86"/>
      <c r="BQ464" s="86"/>
      <c r="BR464" s="86"/>
      <c r="BS464" s="86"/>
      <c r="BT464" s="86"/>
      <c r="BU464" s="86"/>
    </row>
    <row r="465" spans="15:73"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86"/>
      <c r="AY465" s="86"/>
      <c r="AZ465" s="86"/>
      <c r="BA465" s="86"/>
      <c r="BB465" s="86"/>
      <c r="BC465" s="86"/>
      <c r="BD465" s="86"/>
      <c r="BE465" s="86"/>
      <c r="BF465" s="86"/>
      <c r="BG465" s="86"/>
      <c r="BH465" s="86"/>
      <c r="BI465" s="86"/>
      <c r="BJ465" s="86"/>
      <c r="BK465" s="86"/>
      <c r="BL465" s="86"/>
      <c r="BM465" s="86"/>
      <c r="BN465" s="86"/>
      <c r="BO465" s="86"/>
      <c r="BP465" s="86"/>
      <c r="BQ465" s="86"/>
      <c r="BR465" s="86"/>
      <c r="BS465" s="86"/>
      <c r="BT465" s="86"/>
      <c r="BU465" s="86"/>
    </row>
    <row r="466" spans="15:73"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86"/>
      <c r="AY466" s="86"/>
      <c r="AZ466" s="86"/>
      <c r="BA466" s="86"/>
      <c r="BB466" s="86"/>
      <c r="BC466" s="86"/>
      <c r="BD466" s="86"/>
      <c r="BE466" s="86"/>
      <c r="BF466" s="86"/>
      <c r="BG466" s="86"/>
      <c r="BH466" s="86"/>
      <c r="BI466" s="86"/>
      <c r="BJ466" s="86"/>
      <c r="BK466" s="86"/>
      <c r="BL466" s="86"/>
      <c r="BM466" s="86"/>
      <c r="BN466" s="86"/>
      <c r="BO466" s="86"/>
      <c r="BP466" s="86"/>
      <c r="BQ466" s="86"/>
      <c r="BR466" s="86"/>
      <c r="BS466" s="86"/>
      <c r="BT466" s="86"/>
      <c r="BU466" s="86"/>
    </row>
    <row r="467" spans="15:73"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  <c r="AO467" s="86"/>
      <c r="AP467" s="86"/>
      <c r="AQ467" s="86"/>
      <c r="AR467" s="86"/>
      <c r="AS467" s="86"/>
      <c r="AT467" s="86"/>
      <c r="AU467" s="86"/>
      <c r="AV467" s="86"/>
      <c r="AW467" s="86"/>
      <c r="AX467" s="86"/>
      <c r="AY467" s="86"/>
      <c r="AZ467" s="86"/>
      <c r="BA467" s="86"/>
      <c r="BB467" s="86"/>
      <c r="BC467" s="86"/>
      <c r="BD467" s="86"/>
      <c r="BE467" s="86"/>
      <c r="BF467" s="86"/>
      <c r="BG467" s="86"/>
      <c r="BH467" s="86"/>
      <c r="BI467" s="86"/>
      <c r="BJ467" s="86"/>
      <c r="BK467" s="86"/>
      <c r="BL467" s="86"/>
      <c r="BM467" s="86"/>
      <c r="BN467" s="86"/>
      <c r="BO467" s="86"/>
      <c r="BP467" s="86"/>
      <c r="BQ467" s="86"/>
      <c r="BR467" s="86"/>
      <c r="BS467" s="86"/>
      <c r="BT467" s="86"/>
      <c r="BU467" s="86"/>
    </row>
    <row r="468" spans="15:73"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86"/>
      <c r="AY468" s="86"/>
      <c r="AZ468" s="86"/>
      <c r="BA468" s="86"/>
      <c r="BB468" s="86"/>
      <c r="BC468" s="86"/>
      <c r="BD468" s="86"/>
      <c r="BE468" s="86"/>
      <c r="BF468" s="86"/>
      <c r="BG468" s="86"/>
      <c r="BH468" s="86"/>
      <c r="BI468" s="86"/>
      <c r="BJ468" s="86"/>
      <c r="BK468" s="86"/>
      <c r="BL468" s="86"/>
      <c r="BM468" s="86"/>
      <c r="BN468" s="86"/>
      <c r="BO468" s="86"/>
      <c r="BP468" s="86"/>
      <c r="BQ468" s="86"/>
      <c r="BR468" s="86"/>
      <c r="BS468" s="86"/>
      <c r="BT468" s="86"/>
      <c r="BU468" s="86"/>
    </row>
    <row r="469" spans="15:73"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AX469" s="86"/>
      <c r="AY469" s="86"/>
      <c r="AZ469" s="86"/>
      <c r="BA469" s="86"/>
      <c r="BB469" s="86"/>
      <c r="BC469" s="86"/>
      <c r="BD469" s="86"/>
      <c r="BE469" s="86"/>
      <c r="BF469" s="86"/>
      <c r="BG469" s="86"/>
      <c r="BH469" s="86"/>
      <c r="BI469" s="86"/>
      <c r="BJ469" s="86"/>
      <c r="BK469" s="86"/>
      <c r="BL469" s="86"/>
      <c r="BM469" s="86"/>
      <c r="BN469" s="86"/>
      <c r="BO469" s="86"/>
      <c r="BP469" s="86"/>
      <c r="BQ469" s="86"/>
      <c r="BR469" s="86"/>
      <c r="BS469" s="86"/>
      <c r="BT469" s="86"/>
      <c r="BU469" s="86"/>
    </row>
    <row r="470" spans="15:73"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  <c r="AX470" s="86"/>
      <c r="AY470" s="86"/>
      <c r="AZ470" s="86"/>
      <c r="BA470" s="86"/>
      <c r="BB470" s="86"/>
      <c r="BC470" s="86"/>
      <c r="BD470" s="86"/>
      <c r="BE470" s="86"/>
      <c r="BF470" s="86"/>
      <c r="BG470" s="86"/>
      <c r="BH470" s="86"/>
      <c r="BI470" s="86"/>
      <c r="BJ470" s="86"/>
      <c r="BK470" s="86"/>
      <c r="BL470" s="86"/>
      <c r="BM470" s="86"/>
      <c r="BN470" s="86"/>
      <c r="BO470" s="86"/>
      <c r="BP470" s="86"/>
      <c r="BQ470" s="86"/>
      <c r="BR470" s="86"/>
      <c r="BS470" s="86"/>
      <c r="BT470" s="86"/>
      <c r="BU470" s="86"/>
    </row>
    <row r="471" spans="15:73"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86"/>
      <c r="AY471" s="86"/>
      <c r="AZ471" s="86"/>
      <c r="BA471" s="86"/>
      <c r="BB471" s="86"/>
      <c r="BC471" s="86"/>
      <c r="BD471" s="86"/>
      <c r="BE471" s="86"/>
      <c r="BF471" s="86"/>
      <c r="BG471" s="86"/>
      <c r="BH471" s="86"/>
      <c r="BI471" s="86"/>
      <c r="BJ471" s="86"/>
      <c r="BK471" s="86"/>
      <c r="BL471" s="86"/>
      <c r="BM471" s="86"/>
      <c r="BN471" s="86"/>
      <c r="BO471" s="86"/>
      <c r="BP471" s="86"/>
      <c r="BQ471" s="86"/>
      <c r="BR471" s="86"/>
      <c r="BS471" s="86"/>
      <c r="BT471" s="86"/>
      <c r="BU471" s="86"/>
    </row>
    <row r="472" spans="15:73"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AX472" s="86"/>
      <c r="AY472" s="86"/>
      <c r="AZ472" s="86"/>
      <c r="BA472" s="86"/>
      <c r="BB472" s="86"/>
      <c r="BC472" s="86"/>
      <c r="BD472" s="86"/>
      <c r="BE472" s="86"/>
      <c r="BF472" s="86"/>
      <c r="BG472" s="86"/>
      <c r="BH472" s="86"/>
      <c r="BI472" s="86"/>
      <c r="BJ472" s="86"/>
      <c r="BK472" s="86"/>
      <c r="BL472" s="86"/>
      <c r="BM472" s="86"/>
      <c r="BN472" s="86"/>
      <c r="BO472" s="86"/>
      <c r="BP472" s="86"/>
      <c r="BQ472" s="86"/>
      <c r="BR472" s="86"/>
      <c r="BS472" s="86"/>
      <c r="BT472" s="86"/>
      <c r="BU472" s="86"/>
    </row>
    <row r="473" spans="15:73"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86"/>
      <c r="AY473" s="86"/>
      <c r="AZ473" s="86"/>
      <c r="BA473" s="86"/>
      <c r="BB473" s="86"/>
      <c r="BC473" s="86"/>
      <c r="BD473" s="86"/>
      <c r="BE473" s="86"/>
      <c r="BF473" s="86"/>
      <c r="BG473" s="86"/>
      <c r="BH473" s="86"/>
      <c r="BI473" s="86"/>
      <c r="BJ473" s="86"/>
      <c r="BK473" s="86"/>
      <c r="BL473" s="86"/>
      <c r="BM473" s="86"/>
      <c r="BN473" s="86"/>
      <c r="BO473" s="86"/>
      <c r="BP473" s="86"/>
      <c r="BQ473" s="86"/>
      <c r="BR473" s="86"/>
      <c r="BS473" s="86"/>
      <c r="BT473" s="86"/>
      <c r="BU473" s="86"/>
    </row>
    <row r="474" spans="15:73"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86"/>
      <c r="AY474" s="86"/>
      <c r="AZ474" s="86"/>
      <c r="BA474" s="86"/>
      <c r="BB474" s="86"/>
      <c r="BC474" s="86"/>
      <c r="BD474" s="86"/>
      <c r="BE474" s="86"/>
      <c r="BF474" s="86"/>
      <c r="BG474" s="86"/>
      <c r="BH474" s="86"/>
      <c r="BI474" s="86"/>
      <c r="BJ474" s="86"/>
      <c r="BK474" s="86"/>
      <c r="BL474" s="86"/>
      <c r="BM474" s="86"/>
      <c r="BN474" s="86"/>
      <c r="BO474" s="86"/>
      <c r="BP474" s="86"/>
      <c r="BQ474" s="86"/>
      <c r="BR474" s="86"/>
      <c r="BS474" s="86"/>
      <c r="BT474" s="86"/>
      <c r="BU474" s="86"/>
    </row>
    <row r="475" spans="15:73"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  <c r="AZ475" s="86"/>
      <c r="BA475" s="86"/>
      <c r="BB475" s="86"/>
      <c r="BC475" s="86"/>
      <c r="BD475" s="86"/>
      <c r="BE475" s="86"/>
      <c r="BF475" s="86"/>
      <c r="BG475" s="86"/>
      <c r="BH475" s="86"/>
      <c r="BI475" s="86"/>
      <c r="BJ475" s="86"/>
      <c r="BK475" s="86"/>
      <c r="BL475" s="86"/>
      <c r="BM475" s="86"/>
      <c r="BN475" s="86"/>
      <c r="BO475" s="86"/>
      <c r="BP475" s="86"/>
      <c r="BQ475" s="86"/>
      <c r="BR475" s="86"/>
      <c r="BS475" s="86"/>
      <c r="BT475" s="86"/>
      <c r="BU475" s="86"/>
    </row>
    <row r="476" spans="15:73"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86"/>
      <c r="AY476" s="86"/>
      <c r="AZ476" s="86"/>
      <c r="BA476" s="86"/>
      <c r="BB476" s="86"/>
      <c r="BC476" s="86"/>
      <c r="BD476" s="86"/>
      <c r="BE476" s="86"/>
      <c r="BF476" s="86"/>
      <c r="BG476" s="86"/>
      <c r="BH476" s="86"/>
      <c r="BI476" s="86"/>
      <c r="BJ476" s="86"/>
      <c r="BK476" s="86"/>
      <c r="BL476" s="86"/>
      <c r="BM476" s="86"/>
      <c r="BN476" s="86"/>
      <c r="BO476" s="86"/>
      <c r="BP476" s="86"/>
      <c r="BQ476" s="86"/>
      <c r="BR476" s="86"/>
      <c r="BS476" s="86"/>
      <c r="BT476" s="86"/>
      <c r="BU476" s="86"/>
    </row>
    <row r="477" spans="15:73"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  <c r="BA477" s="86"/>
      <c r="BB477" s="86"/>
      <c r="BC477" s="86"/>
      <c r="BD477" s="86"/>
      <c r="BE477" s="86"/>
      <c r="BF477" s="86"/>
      <c r="BG477" s="86"/>
      <c r="BH477" s="86"/>
      <c r="BI477" s="86"/>
      <c r="BJ477" s="86"/>
      <c r="BK477" s="86"/>
      <c r="BL477" s="86"/>
      <c r="BM477" s="86"/>
      <c r="BN477" s="86"/>
      <c r="BO477" s="86"/>
      <c r="BP477" s="86"/>
      <c r="BQ477" s="86"/>
      <c r="BR477" s="86"/>
      <c r="BS477" s="86"/>
      <c r="BT477" s="86"/>
      <c r="BU477" s="86"/>
    </row>
    <row r="478" spans="15:73"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  <c r="BA478" s="86"/>
      <c r="BB478" s="86"/>
      <c r="BC478" s="86"/>
      <c r="BD478" s="86"/>
      <c r="BE478" s="86"/>
      <c r="BF478" s="86"/>
      <c r="BG478" s="86"/>
      <c r="BH478" s="86"/>
      <c r="BI478" s="86"/>
      <c r="BJ478" s="86"/>
      <c r="BK478" s="86"/>
      <c r="BL478" s="86"/>
      <c r="BM478" s="86"/>
      <c r="BN478" s="86"/>
      <c r="BO478" s="86"/>
      <c r="BP478" s="86"/>
      <c r="BQ478" s="86"/>
      <c r="BR478" s="86"/>
      <c r="BS478" s="86"/>
      <c r="BT478" s="86"/>
      <c r="BU478" s="86"/>
    </row>
    <row r="479" spans="15:73"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86"/>
      <c r="AY479" s="86"/>
      <c r="AZ479" s="86"/>
      <c r="BA479" s="86"/>
      <c r="BB479" s="86"/>
      <c r="BC479" s="86"/>
      <c r="BD479" s="86"/>
      <c r="BE479" s="86"/>
      <c r="BF479" s="86"/>
      <c r="BG479" s="86"/>
      <c r="BH479" s="86"/>
      <c r="BI479" s="86"/>
      <c r="BJ479" s="86"/>
      <c r="BK479" s="86"/>
      <c r="BL479" s="86"/>
      <c r="BM479" s="86"/>
      <c r="BN479" s="86"/>
      <c r="BO479" s="86"/>
      <c r="BP479" s="86"/>
      <c r="BQ479" s="86"/>
      <c r="BR479" s="86"/>
      <c r="BS479" s="86"/>
      <c r="BT479" s="86"/>
      <c r="BU479" s="86"/>
    </row>
    <row r="480" spans="15:73"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86"/>
      <c r="AY480" s="86"/>
      <c r="AZ480" s="86"/>
      <c r="BA480" s="86"/>
      <c r="BB480" s="86"/>
      <c r="BC480" s="86"/>
      <c r="BD480" s="86"/>
      <c r="BE480" s="86"/>
      <c r="BF480" s="86"/>
      <c r="BG480" s="86"/>
      <c r="BH480" s="86"/>
      <c r="BI480" s="86"/>
      <c r="BJ480" s="86"/>
      <c r="BK480" s="86"/>
      <c r="BL480" s="86"/>
      <c r="BM480" s="86"/>
      <c r="BN480" s="86"/>
      <c r="BO480" s="86"/>
      <c r="BP480" s="86"/>
      <c r="BQ480" s="86"/>
      <c r="BR480" s="86"/>
      <c r="BS480" s="86"/>
      <c r="BT480" s="86"/>
      <c r="BU480" s="86"/>
    </row>
    <row r="481" spans="15:73"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86"/>
      <c r="AY481" s="86"/>
      <c r="AZ481" s="86"/>
      <c r="BA481" s="86"/>
      <c r="BB481" s="86"/>
      <c r="BC481" s="86"/>
      <c r="BD481" s="86"/>
      <c r="BE481" s="86"/>
      <c r="BF481" s="86"/>
      <c r="BG481" s="86"/>
      <c r="BH481" s="86"/>
      <c r="BI481" s="86"/>
      <c r="BJ481" s="86"/>
      <c r="BK481" s="86"/>
      <c r="BL481" s="86"/>
      <c r="BM481" s="86"/>
      <c r="BN481" s="86"/>
      <c r="BO481" s="86"/>
      <c r="BP481" s="86"/>
      <c r="BQ481" s="86"/>
      <c r="BR481" s="86"/>
      <c r="BS481" s="86"/>
      <c r="BT481" s="86"/>
      <c r="BU481" s="86"/>
    </row>
    <row r="482" spans="15:73"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  <c r="AZ482" s="86"/>
      <c r="BA482" s="86"/>
      <c r="BB482" s="86"/>
      <c r="BC482" s="86"/>
      <c r="BD482" s="86"/>
      <c r="BE482" s="86"/>
      <c r="BF482" s="86"/>
      <c r="BG482" s="86"/>
      <c r="BH482" s="86"/>
      <c r="BI482" s="86"/>
      <c r="BJ482" s="86"/>
      <c r="BK482" s="86"/>
      <c r="BL482" s="86"/>
      <c r="BM482" s="86"/>
      <c r="BN482" s="86"/>
      <c r="BO482" s="86"/>
      <c r="BP482" s="86"/>
      <c r="BQ482" s="86"/>
      <c r="BR482" s="86"/>
      <c r="BS482" s="86"/>
      <c r="BT482" s="86"/>
      <c r="BU482" s="86"/>
    </row>
    <row r="483" spans="15:73"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  <c r="AX483" s="86"/>
      <c r="AY483" s="86"/>
      <c r="AZ483" s="86"/>
      <c r="BA483" s="86"/>
      <c r="BB483" s="86"/>
      <c r="BC483" s="86"/>
      <c r="BD483" s="86"/>
      <c r="BE483" s="86"/>
      <c r="BF483" s="86"/>
      <c r="BG483" s="86"/>
      <c r="BH483" s="86"/>
      <c r="BI483" s="86"/>
      <c r="BJ483" s="86"/>
      <c r="BK483" s="86"/>
      <c r="BL483" s="86"/>
      <c r="BM483" s="86"/>
      <c r="BN483" s="86"/>
      <c r="BO483" s="86"/>
      <c r="BP483" s="86"/>
      <c r="BQ483" s="86"/>
      <c r="BR483" s="86"/>
      <c r="BS483" s="86"/>
      <c r="BT483" s="86"/>
      <c r="BU483" s="86"/>
    </row>
    <row r="484" spans="15:73"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  <c r="AX484" s="86"/>
      <c r="AY484" s="86"/>
      <c r="AZ484" s="86"/>
      <c r="BA484" s="86"/>
      <c r="BB484" s="86"/>
      <c r="BC484" s="86"/>
      <c r="BD484" s="86"/>
      <c r="BE484" s="86"/>
      <c r="BF484" s="86"/>
      <c r="BG484" s="86"/>
      <c r="BH484" s="86"/>
      <c r="BI484" s="86"/>
      <c r="BJ484" s="86"/>
      <c r="BK484" s="86"/>
      <c r="BL484" s="86"/>
      <c r="BM484" s="86"/>
      <c r="BN484" s="86"/>
      <c r="BO484" s="86"/>
      <c r="BP484" s="86"/>
      <c r="BQ484" s="86"/>
      <c r="BR484" s="86"/>
      <c r="BS484" s="86"/>
      <c r="BT484" s="86"/>
      <c r="BU484" s="86"/>
    </row>
    <row r="485" spans="15:73"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86"/>
      <c r="AY485" s="86"/>
      <c r="AZ485" s="86"/>
      <c r="BA485" s="86"/>
      <c r="BB485" s="86"/>
      <c r="BC485" s="86"/>
      <c r="BD485" s="86"/>
      <c r="BE485" s="86"/>
      <c r="BF485" s="86"/>
      <c r="BG485" s="86"/>
      <c r="BH485" s="86"/>
      <c r="BI485" s="86"/>
      <c r="BJ485" s="86"/>
      <c r="BK485" s="86"/>
      <c r="BL485" s="86"/>
      <c r="BM485" s="86"/>
      <c r="BN485" s="86"/>
      <c r="BO485" s="86"/>
      <c r="BP485" s="86"/>
      <c r="BQ485" s="86"/>
      <c r="BR485" s="86"/>
      <c r="BS485" s="86"/>
      <c r="BT485" s="86"/>
      <c r="BU485" s="86"/>
    </row>
    <row r="486" spans="15:73"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  <c r="AZ486" s="86"/>
      <c r="BA486" s="86"/>
      <c r="BB486" s="86"/>
      <c r="BC486" s="86"/>
      <c r="BD486" s="86"/>
      <c r="BE486" s="86"/>
      <c r="BF486" s="86"/>
      <c r="BG486" s="86"/>
      <c r="BH486" s="86"/>
      <c r="BI486" s="86"/>
      <c r="BJ486" s="86"/>
      <c r="BK486" s="86"/>
      <c r="BL486" s="86"/>
      <c r="BM486" s="86"/>
      <c r="BN486" s="86"/>
      <c r="BO486" s="86"/>
      <c r="BP486" s="86"/>
      <c r="BQ486" s="86"/>
      <c r="BR486" s="86"/>
      <c r="BS486" s="86"/>
      <c r="BT486" s="86"/>
      <c r="BU486" s="86"/>
    </row>
    <row r="487" spans="15:73"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AX487" s="86"/>
      <c r="AY487" s="86"/>
      <c r="AZ487" s="86"/>
      <c r="BA487" s="86"/>
      <c r="BB487" s="86"/>
      <c r="BC487" s="86"/>
      <c r="BD487" s="86"/>
      <c r="BE487" s="86"/>
      <c r="BF487" s="86"/>
      <c r="BG487" s="86"/>
      <c r="BH487" s="86"/>
      <c r="BI487" s="86"/>
      <c r="BJ487" s="86"/>
      <c r="BK487" s="86"/>
      <c r="BL487" s="86"/>
      <c r="BM487" s="86"/>
      <c r="BN487" s="86"/>
      <c r="BO487" s="86"/>
      <c r="BP487" s="86"/>
      <c r="BQ487" s="86"/>
      <c r="BR487" s="86"/>
      <c r="BS487" s="86"/>
      <c r="BT487" s="86"/>
      <c r="BU487" s="86"/>
    </row>
    <row r="488" spans="15:73"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  <c r="AX488" s="86"/>
      <c r="AY488" s="86"/>
      <c r="AZ488" s="86"/>
      <c r="BA488" s="86"/>
      <c r="BB488" s="86"/>
      <c r="BC488" s="86"/>
      <c r="BD488" s="86"/>
      <c r="BE488" s="86"/>
      <c r="BF488" s="86"/>
      <c r="BG488" s="86"/>
      <c r="BH488" s="86"/>
      <c r="BI488" s="86"/>
      <c r="BJ488" s="86"/>
      <c r="BK488" s="86"/>
      <c r="BL488" s="86"/>
      <c r="BM488" s="86"/>
      <c r="BN488" s="86"/>
      <c r="BO488" s="86"/>
      <c r="BP488" s="86"/>
      <c r="BQ488" s="86"/>
      <c r="BR488" s="86"/>
      <c r="BS488" s="86"/>
      <c r="BT488" s="86"/>
      <c r="BU488" s="86"/>
    </row>
    <row r="489" spans="15:73"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86"/>
      <c r="AY489" s="86"/>
      <c r="AZ489" s="86"/>
      <c r="BA489" s="86"/>
      <c r="BB489" s="86"/>
      <c r="BC489" s="86"/>
      <c r="BD489" s="86"/>
      <c r="BE489" s="86"/>
      <c r="BF489" s="86"/>
      <c r="BG489" s="86"/>
      <c r="BH489" s="86"/>
      <c r="BI489" s="86"/>
      <c r="BJ489" s="86"/>
      <c r="BK489" s="86"/>
      <c r="BL489" s="86"/>
      <c r="BM489" s="86"/>
      <c r="BN489" s="86"/>
      <c r="BO489" s="86"/>
      <c r="BP489" s="86"/>
      <c r="BQ489" s="86"/>
      <c r="BR489" s="86"/>
      <c r="BS489" s="86"/>
      <c r="BT489" s="86"/>
      <c r="BU489" s="86"/>
    </row>
    <row r="490" spans="15:73"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  <c r="AX490" s="86"/>
      <c r="AY490" s="86"/>
      <c r="AZ490" s="86"/>
      <c r="BA490" s="86"/>
      <c r="BB490" s="86"/>
      <c r="BC490" s="86"/>
      <c r="BD490" s="86"/>
      <c r="BE490" s="86"/>
      <c r="BF490" s="86"/>
      <c r="BG490" s="86"/>
      <c r="BH490" s="86"/>
      <c r="BI490" s="86"/>
      <c r="BJ490" s="86"/>
      <c r="BK490" s="86"/>
      <c r="BL490" s="86"/>
      <c r="BM490" s="86"/>
      <c r="BN490" s="86"/>
      <c r="BO490" s="86"/>
      <c r="BP490" s="86"/>
      <c r="BQ490" s="86"/>
      <c r="BR490" s="86"/>
      <c r="BS490" s="86"/>
      <c r="BT490" s="86"/>
      <c r="BU490" s="86"/>
    </row>
    <row r="491" spans="15:73"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  <c r="AN491" s="86"/>
      <c r="AO491" s="86"/>
      <c r="AP491" s="86"/>
      <c r="AQ491" s="86"/>
      <c r="AR491" s="86"/>
      <c r="AS491" s="86"/>
      <c r="AT491" s="86"/>
      <c r="AU491" s="86"/>
      <c r="AV491" s="86"/>
      <c r="AW491" s="86"/>
      <c r="AX491" s="86"/>
      <c r="AY491" s="86"/>
      <c r="AZ491" s="86"/>
      <c r="BA491" s="86"/>
      <c r="BB491" s="86"/>
      <c r="BC491" s="86"/>
      <c r="BD491" s="86"/>
      <c r="BE491" s="86"/>
      <c r="BF491" s="86"/>
      <c r="BG491" s="86"/>
      <c r="BH491" s="86"/>
      <c r="BI491" s="86"/>
      <c r="BJ491" s="86"/>
      <c r="BK491" s="86"/>
      <c r="BL491" s="86"/>
      <c r="BM491" s="86"/>
      <c r="BN491" s="86"/>
      <c r="BO491" s="86"/>
      <c r="BP491" s="86"/>
      <c r="BQ491" s="86"/>
      <c r="BR491" s="86"/>
      <c r="BS491" s="86"/>
      <c r="BT491" s="86"/>
      <c r="BU491" s="86"/>
    </row>
    <row r="492" spans="15:73"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  <c r="AN492" s="86"/>
      <c r="AO492" s="86"/>
      <c r="AP492" s="86"/>
      <c r="AQ492" s="86"/>
      <c r="AR492" s="86"/>
      <c r="AS492" s="86"/>
      <c r="AT492" s="86"/>
      <c r="AU492" s="86"/>
      <c r="AV492" s="86"/>
      <c r="AW492" s="86"/>
      <c r="AX492" s="86"/>
      <c r="AY492" s="86"/>
      <c r="AZ492" s="86"/>
      <c r="BA492" s="86"/>
      <c r="BB492" s="86"/>
      <c r="BC492" s="86"/>
      <c r="BD492" s="86"/>
      <c r="BE492" s="86"/>
      <c r="BF492" s="86"/>
      <c r="BG492" s="86"/>
      <c r="BH492" s="86"/>
      <c r="BI492" s="86"/>
      <c r="BJ492" s="86"/>
      <c r="BK492" s="86"/>
      <c r="BL492" s="86"/>
      <c r="BM492" s="86"/>
      <c r="BN492" s="86"/>
      <c r="BO492" s="86"/>
      <c r="BP492" s="86"/>
      <c r="BQ492" s="86"/>
      <c r="BR492" s="86"/>
      <c r="BS492" s="86"/>
      <c r="BT492" s="86"/>
      <c r="BU492" s="86"/>
    </row>
    <row r="493" spans="15:73"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  <c r="AX493" s="86"/>
      <c r="AY493" s="86"/>
      <c r="AZ493" s="86"/>
      <c r="BA493" s="86"/>
      <c r="BB493" s="86"/>
      <c r="BC493" s="86"/>
      <c r="BD493" s="86"/>
      <c r="BE493" s="86"/>
      <c r="BF493" s="86"/>
      <c r="BG493" s="86"/>
      <c r="BH493" s="86"/>
      <c r="BI493" s="86"/>
      <c r="BJ493" s="86"/>
      <c r="BK493" s="86"/>
      <c r="BL493" s="86"/>
      <c r="BM493" s="86"/>
      <c r="BN493" s="86"/>
      <c r="BO493" s="86"/>
      <c r="BP493" s="86"/>
      <c r="BQ493" s="86"/>
      <c r="BR493" s="86"/>
      <c r="BS493" s="86"/>
      <c r="BT493" s="86"/>
      <c r="BU493" s="86"/>
    </row>
    <row r="494" spans="15:73"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86"/>
      <c r="AY494" s="86"/>
      <c r="AZ494" s="86"/>
      <c r="BA494" s="86"/>
      <c r="BB494" s="86"/>
      <c r="BC494" s="86"/>
      <c r="BD494" s="86"/>
      <c r="BE494" s="86"/>
      <c r="BF494" s="86"/>
      <c r="BG494" s="86"/>
      <c r="BH494" s="86"/>
      <c r="BI494" s="86"/>
      <c r="BJ494" s="86"/>
      <c r="BK494" s="86"/>
      <c r="BL494" s="86"/>
      <c r="BM494" s="86"/>
      <c r="BN494" s="86"/>
      <c r="BO494" s="86"/>
      <c r="BP494" s="86"/>
      <c r="BQ494" s="86"/>
      <c r="BR494" s="86"/>
      <c r="BS494" s="86"/>
      <c r="BT494" s="86"/>
      <c r="BU494" s="86"/>
    </row>
    <row r="495" spans="15:73"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86"/>
      <c r="AY495" s="86"/>
      <c r="AZ495" s="86"/>
      <c r="BA495" s="86"/>
      <c r="BB495" s="86"/>
      <c r="BC495" s="86"/>
      <c r="BD495" s="86"/>
      <c r="BE495" s="86"/>
      <c r="BF495" s="86"/>
      <c r="BG495" s="86"/>
      <c r="BH495" s="86"/>
      <c r="BI495" s="86"/>
      <c r="BJ495" s="86"/>
      <c r="BK495" s="86"/>
      <c r="BL495" s="86"/>
      <c r="BM495" s="86"/>
      <c r="BN495" s="86"/>
      <c r="BO495" s="86"/>
      <c r="BP495" s="86"/>
      <c r="BQ495" s="86"/>
      <c r="BR495" s="86"/>
      <c r="BS495" s="86"/>
      <c r="BT495" s="86"/>
      <c r="BU495" s="86"/>
    </row>
    <row r="496" spans="15:73"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  <c r="AX496" s="86"/>
      <c r="AY496" s="86"/>
      <c r="AZ496" s="86"/>
      <c r="BA496" s="86"/>
      <c r="BB496" s="86"/>
      <c r="BC496" s="86"/>
      <c r="BD496" s="86"/>
      <c r="BE496" s="86"/>
      <c r="BF496" s="86"/>
      <c r="BG496" s="86"/>
      <c r="BH496" s="86"/>
      <c r="BI496" s="86"/>
      <c r="BJ496" s="86"/>
      <c r="BK496" s="86"/>
      <c r="BL496" s="86"/>
      <c r="BM496" s="86"/>
      <c r="BN496" s="86"/>
      <c r="BO496" s="86"/>
      <c r="BP496" s="86"/>
      <c r="BQ496" s="86"/>
      <c r="BR496" s="86"/>
      <c r="BS496" s="86"/>
      <c r="BT496" s="86"/>
      <c r="BU496" s="86"/>
    </row>
    <row r="497" spans="15:73"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86"/>
      <c r="AY497" s="86"/>
      <c r="AZ497" s="86"/>
      <c r="BA497" s="86"/>
      <c r="BB497" s="86"/>
      <c r="BC497" s="86"/>
      <c r="BD497" s="86"/>
      <c r="BE497" s="86"/>
      <c r="BF497" s="86"/>
      <c r="BG497" s="86"/>
      <c r="BH497" s="86"/>
      <c r="BI497" s="86"/>
      <c r="BJ497" s="86"/>
      <c r="BK497" s="86"/>
      <c r="BL497" s="86"/>
      <c r="BM497" s="86"/>
      <c r="BN497" s="86"/>
      <c r="BO497" s="86"/>
      <c r="BP497" s="86"/>
      <c r="BQ497" s="86"/>
      <c r="BR497" s="86"/>
      <c r="BS497" s="86"/>
      <c r="BT497" s="86"/>
      <c r="BU497" s="86"/>
    </row>
    <row r="498" spans="15:73"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  <c r="AX498" s="86"/>
      <c r="AY498" s="86"/>
      <c r="AZ498" s="86"/>
      <c r="BA498" s="86"/>
      <c r="BB498" s="86"/>
      <c r="BC498" s="86"/>
      <c r="BD498" s="86"/>
      <c r="BE498" s="86"/>
      <c r="BF498" s="86"/>
      <c r="BG498" s="86"/>
      <c r="BH498" s="86"/>
      <c r="BI498" s="86"/>
      <c r="BJ498" s="86"/>
      <c r="BK498" s="86"/>
      <c r="BL498" s="86"/>
      <c r="BM498" s="86"/>
      <c r="BN498" s="86"/>
      <c r="BO498" s="86"/>
      <c r="BP498" s="86"/>
      <c r="BQ498" s="86"/>
      <c r="BR498" s="86"/>
      <c r="BS498" s="86"/>
      <c r="BT498" s="86"/>
      <c r="BU498" s="86"/>
    </row>
    <row r="499" spans="15:73"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  <c r="AM499" s="86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  <c r="AX499" s="86"/>
      <c r="AY499" s="86"/>
      <c r="AZ499" s="86"/>
      <c r="BA499" s="86"/>
      <c r="BB499" s="86"/>
      <c r="BC499" s="86"/>
      <c r="BD499" s="86"/>
      <c r="BE499" s="86"/>
      <c r="BF499" s="86"/>
      <c r="BG499" s="86"/>
      <c r="BH499" s="86"/>
      <c r="BI499" s="86"/>
      <c r="BJ499" s="86"/>
      <c r="BK499" s="86"/>
      <c r="BL499" s="86"/>
      <c r="BM499" s="86"/>
      <c r="BN499" s="86"/>
      <c r="BO499" s="86"/>
      <c r="BP499" s="86"/>
      <c r="BQ499" s="86"/>
      <c r="BR499" s="86"/>
      <c r="BS499" s="86"/>
      <c r="BT499" s="86"/>
      <c r="BU499" s="86"/>
    </row>
    <row r="500" spans="15:73"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  <c r="AX500" s="86"/>
      <c r="AY500" s="86"/>
      <c r="AZ500" s="86"/>
      <c r="BA500" s="86"/>
      <c r="BB500" s="86"/>
      <c r="BC500" s="86"/>
      <c r="BD500" s="86"/>
      <c r="BE500" s="86"/>
      <c r="BF500" s="86"/>
      <c r="BG500" s="86"/>
      <c r="BH500" s="86"/>
      <c r="BI500" s="86"/>
      <c r="BJ500" s="86"/>
      <c r="BK500" s="86"/>
      <c r="BL500" s="86"/>
      <c r="BM500" s="86"/>
      <c r="BN500" s="86"/>
      <c r="BO500" s="86"/>
      <c r="BP500" s="86"/>
      <c r="BQ500" s="86"/>
      <c r="BR500" s="86"/>
      <c r="BS500" s="86"/>
      <c r="BT500" s="86"/>
      <c r="BU500" s="86"/>
    </row>
    <row r="501" spans="15:73"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86"/>
      <c r="AP501" s="86"/>
      <c r="AQ501" s="86"/>
      <c r="AR501" s="86"/>
      <c r="AS501" s="86"/>
      <c r="AT501" s="86"/>
      <c r="AU501" s="86"/>
      <c r="AV501" s="86"/>
      <c r="AW501" s="86"/>
      <c r="AX501" s="86"/>
      <c r="AY501" s="86"/>
      <c r="AZ501" s="86"/>
      <c r="BA501" s="86"/>
      <c r="BB501" s="86"/>
      <c r="BC501" s="86"/>
      <c r="BD501" s="86"/>
      <c r="BE501" s="86"/>
      <c r="BF501" s="86"/>
      <c r="BG501" s="86"/>
      <c r="BH501" s="86"/>
      <c r="BI501" s="86"/>
      <c r="BJ501" s="86"/>
      <c r="BK501" s="86"/>
      <c r="BL501" s="86"/>
      <c r="BM501" s="86"/>
      <c r="BN501" s="86"/>
      <c r="BO501" s="86"/>
      <c r="BP501" s="86"/>
      <c r="BQ501" s="86"/>
      <c r="BR501" s="86"/>
      <c r="BS501" s="86"/>
      <c r="BT501" s="86"/>
      <c r="BU501" s="86"/>
    </row>
    <row r="502" spans="15:73"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  <c r="AN502" s="86"/>
      <c r="AO502" s="86"/>
      <c r="AP502" s="86"/>
      <c r="AQ502" s="86"/>
      <c r="AR502" s="86"/>
      <c r="AS502" s="86"/>
      <c r="AT502" s="86"/>
      <c r="AU502" s="86"/>
      <c r="AV502" s="86"/>
      <c r="AW502" s="86"/>
      <c r="AX502" s="86"/>
      <c r="AY502" s="86"/>
      <c r="AZ502" s="86"/>
      <c r="BA502" s="86"/>
      <c r="BB502" s="86"/>
      <c r="BC502" s="86"/>
      <c r="BD502" s="86"/>
      <c r="BE502" s="86"/>
      <c r="BF502" s="86"/>
      <c r="BG502" s="86"/>
      <c r="BH502" s="86"/>
      <c r="BI502" s="86"/>
      <c r="BJ502" s="86"/>
      <c r="BK502" s="86"/>
      <c r="BL502" s="86"/>
      <c r="BM502" s="86"/>
      <c r="BN502" s="86"/>
      <c r="BO502" s="86"/>
      <c r="BP502" s="86"/>
      <c r="BQ502" s="86"/>
      <c r="BR502" s="86"/>
      <c r="BS502" s="86"/>
      <c r="BT502" s="86"/>
      <c r="BU502" s="86"/>
    </row>
    <row r="503" spans="15:73"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86"/>
      <c r="AY503" s="86"/>
      <c r="AZ503" s="86"/>
      <c r="BA503" s="86"/>
      <c r="BB503" s="86"/>
      <c r="BC503" s="86"/>
      <c r="BD503" s="86"/>
      <c r="BE503" s="86"/>
      <c r="BF503" s="86"/>
      <c r="BG503" s="86"/>
      <c r="BH503" s="86"/>
      <c r="BI503" s="86"/>
      <c r="BJ503" s="86"/>
      <c r="BK503" s="86"/>
      <c r="BL503" s="86"/>
      <c r="BM503" s="86"/>
      <c r="BN503" s="86"/>
      <c r="BO503" s="86"/>
      <c r="BP503" s="86"/>
      <c r="BQ503" s="86"/>
      <c r="BR503" s="86"/>
      <c r="BS503" s="86"/>
      <c r="BT503" s="86"/>
      <c r="BU503" s="86"/>
    </row>
    <row r="504" spans="15:73"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  <c r="AM504" s="86"/>
      <c r="AN504" s="86"/>
      <c r="AO504" s="86"/>
      <c r="AP504" s="86"/>
      <c r="AQ504" s="86"/>
      <c r="AR504" s="86"/>
      <c r="AS504" s="86"/>
      <c r="AT504" s="86"/>
      <c r="AU504" s="86"/>
      <c r="AV504" s="86"/>
      <c r="AW504" s="86"/>
      <c r="AX504" s="86"/>
      <c r="AY504" s="86"/>
      <c r="AZ504" s="86"/>
      <c r="BA504" s="86"/>
      <c r="BB504" s="86"/>
      <c r="BC504" s="86"/>
      <c r="BD504" s="86"/>
      <c r="BE504" s="86"/>
      <c r="BF504" s="86"/>
      <c r="BG504" s="86"/>
      <c r="BH504" s="86"/>
      <c r="BI504" s="86"/>
      <c r="BJ504" s="86"/>
      <c r="BK504" s="86"/>
      <c r="BL504" s="86"/>
      <c r="BM504" s="86"/>
      <c r="BN504" s="86"/>
      <c r="BO504" s="86"/>
      <c r="BP504" s="86"/>
      <c r="BQ504" s="86"/>
      <c r="BR504" s="86"/>
      <c r="BS504" s="86"/>
      <c r="BT504" s="86"/>
      <c r="BU504" s="86"/>
    </row>
    <row r="505" spans="15:73"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86"/>
      <c r="AY505" s="86"/>
      <c r="AZ505" s="86"/>
      <c r="BA505" s="86"/>
      <c r="BB505" s="86"/>
      <c r="BC505" s="86"/>
      <c r="BD505" s="86"/>
      <c r="BE505" s="86"/>
      <c r="BF505" s="86"/>
      <c r="BG505" s="86"/>
      <c r="BH505" s="86"/>
      <c r="BI505" s="86"/>
      <c r="BJ505" s="86"/>
      <c r="BK505" s="86"/>
      <c r="BL505" s="86"/>
      <c r="BM505" s="86"/>
      <c r="BN505" s="86"/>
      <c r="BO505" s="86"/>
      <c r="BP505" s="86"/>
      <c r="BQ505" s="86"/>
      <c r="BR505" s="86"/>
      <c r="BS505" s="86"/>
      <c r="BT505" s="86"/>
      <c r="BU505" s="86"/>
    </row>
    <row r="506" spans="15:73"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86"/>
      <c r="AN506" s="86"/>
      <c r="AO506" s="86"/>
      <c r="AP506" s="86"/>
      <c r="AQ506" s="86"/>
      <c r="AR506" s="86"/>
      <c r="AS506" s="86"/>
      <c r="AT506" s="86"/>
      <c r="AU506" s="86"/>
      <c r="AV506" s="86"/>
      <c r="AW506" s="86"/>
      <c r="AX506" s="86"/>
      <c r="AY506" s="86"/>
      <c r="AZ506" s="86"/>
      <c r="BA506" s="86"/>
      <c r="BB506" s="86"/>
      <c r="BC506" s="86"/>
      <c r="BD506" s="86"/>
      <c r="BE506" s="86"/>
      <c r="BF506" s="86"/>
      <c r="BG506" s="86"/>
      <c r="BH506" s="86"/>
      <c r="BI506" s="86"/>
      <c r="BJ506" s="86"/>
      <c r="BK506" s="86"/>
      <c r="BL506" s="86"/>
      <c r="BM506" s="86"/>
      <c r="BN506" s="86"/>
      <c r="BO506" s="86"/>
      <c r="BP506" s="86"/>
      <c r="BQ506" s="86"/>
      <c r="BR506" s="86"/>
      <c r="BS506" s="86"/>
      <c r="BT506" s="86"/>
      <c r="BU506" s="86"/>
    </row>
    <row r="507" spans="15:73"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  <c r="AM507" s="86"/>
      <c r="AN507" s="86"/>
      <c r="AO507" s="86"/>
      <c r="AP507" s="86"/>
      <c r="AQ507" s="86"/>
      <c r="AR507" s="86"/>
      <c r="AS507" s="86"/>
      <c r="AT507" s="86"/>
      <c r="AU507" s="86"/>
      <c r="AV507" s="86"/>
      <c r="AW507" s="86"/>
      <c r="AX507" s="86"/>
      <c r="AY507" s="86"/>
      <c r="AZ507" s="86"/>
      <c r="BA507" s="86"/>
      <c r="BB507" s="86"/>
      <c r="BC507" s="86"/>
      <c r="BD507" s="86"/>
      <c r="BE507" s="86"/>
      <c r="BF507" s="86"/>
      <c r="BG507" s="86"/>
      <c r="BH507" s="86"/>
      <c r="BI507" s="86"/>
      <c r="BJ507" s="86"/>
      <c r="BK507" s="86"/>
      <c r="BL507" s="86"/>
      <c r="BM507" s="86"/>
      <c r="BN507" s="86"/>
      <c r="BO507" s="86"/>
      <c r="BP507" s="86"/>
      <c r="BQ507" s="86"/>
      <c r="BR507" s="86"/>
      <c r="BS507" s="86"/>
      <c r="BT507" s="86"/>
      <c r="BU507" s="86"/>
    </row>
    <row r="508" spans="15:73"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  <c r="AM508" s="86"/>
      <c r="AN508" s="86"/>
      <c r="AO508" s="86"/>
      <c r="AP508" s="86"/>
      <c r="AQ508" s="86"/>
      <c r="AR508" s="86"/>
      <c r="AS508" s="86"/>
      <c r="AT508" s="86"/>
      <c r="AU508" s="86"/>
      <c r="AV508" s="86"/>
      <c r="AW508" s="86"/>
      <c r="AX508" s="86"/>
      <c r="AY508" s="86"/>
      <c r="AZ508" s="86"/>
      <c r="BA508" s="86"/>
      <c r="BB508" s="86"/>
      <c r="BC508" s="86"/>
      <c r="BD508" s="86"/>
      <c r="BE508" s="86"/>
      <c r="BF508" s="86"/>
      <c r="BG508" s="86"/>
      <c r="BH508" s="86"/>
      <c r="BI508" s="86"/>
      <c r="BJ508" s="86"/>
      <c r="BK508" s="86"/>
      <c r="BL508" s="86"/>
      <c r="BM508" s="86"/>
      <c r="BN508" s="86"/>
      <c r="BO508" s="86"/>
      <c r="BP508" s="86"/>
      <c r="BQ508" s="86"/>
      <c r="BR508" s="86"/>
      <c r="BS508" s="86"/>
      <c r="BT508" s="86"/>
      <c r="BU508" s="86"/>
    </row>
    <row r="509" spans="15:73"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  <c r="AM509" s="86"/>
      <c r="AN509" s="86"/>
      <c r="AO509" s="86"/>
      <c r="AP509" s="86"/>
      <c r="AQ509" s="86"/>
      <c r="AR509" s="86"/>
      <c r="AS509" s="86"/>
      <c r="AT509" s="86"/>
      <c r="AU509" s="86"/>
      <c r="AV509" s="86"/>
      <c r="AW509" s="86"/>
      <c r="AX509" s="86"/>
      <c r="AY509" s="86"/>
      <c r="AZ509" s="86"/>
      <c r="BA509" s="86"/>
      <c r="BB509" s="86"/>
      <c r="BC509" s="86"/>
      <c r="BD509" s="86"/>
      <c r="BE509" s="86"/>
      <c r="BF509" s="86"/>
      <c r="BG509" s="86"/>
      <c r="BH509" s="86"/>
      <c r="BI509" s="86"/>
      <c r="BJ509" s="86"/>
      <c r="BK509" s="86"/>
      <c r="BL509" s="86"/>
      <c r="BM509" s="86"/>
      <c r="BN509" s="86"/>
      <c r="BO509" s="86"/>
      <c r="BP509" s="86"/>
      <c r="BQ509" s="86"/>
      <c r="BR509" s="86"/>
      <c r="BS509" s="86"/>
      <c r="BT509" s="86"/>
      <c r="BU509" s="86"/>
    </row>
    <row r="510" spans="15:73"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86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86"/>
      <c r="AY510" s="86"/>
      <c r="AZ510" s="86"/>
      <c r="BA510" s="86"/>
      <c r="BB510" s="86"/>
      <c r="BC510" s="86"/>
      <c r="BD510" s="86"/>
      <c r="BE510" s="86"/>
      <c r="BF510" s="86"/>
      <c r="BG510" s="86"/>
      <c r="BH510" s="86"/>
      <c r="BI510" s="86"/>
      <c r="BJ510" s="86"/>
      <c r="BK510" s="86"/>
      <c r="BL510" s="86"/>
      <c r="BM510" s="86"/>
      <c r="BN510" s="86"/>
      <c r="BO510" s="86"/>
      <c r="BP510" s="86"/>
      <c r="BQ510" s="86"/>
      <c r="BR510" s="86"/>
      <c r="BS510" s="86"/>
      <c r="BT510" s="86"/>
      <c r="BU510" s="86"/>
    </row>
    <row r="511" spans="15:73"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  <c r="AM511" s="86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  <c r="AX511" s="86"/>
      <c r="AY511" s="86"/>
      <c r="AZ511" s="86"/>
      <c r="BA511" s="86"/>
      <c r="BB511" s="86"/>
      <c r="BC511" s="86"/>
      <c r="BD511" s="86"/>
      <c r="BE511" s="86"/>
      <c r="BF511" s="86"/>
      <c r="BG511" s="86"/>
      <c r="BH511" s="86"/>
      <c r="BI511" s="86"/>
      <c r="BJ511" s="86"/>
      <c r="BK511" s="86"/>
      <c r="BL511" s="86"/>
      <c r="BM511" s="86"/>
      <c r="BN511" s="86"/>
      <c r="BO511" s="86"/>
      <c r="BP511" s="86"/>
      <c r="BQ511" s="86"/>
      <c r="BR511" s="86"/>
      <c r="BS511" s="86"/>
      <c r="BT511" s="86"/>
      <c r="BU511" s="86"/>
    </row>
    <row r="512" spans="15:73"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  <c r="AM512" s="86"/>
      <c r="AN512" s="86"/>
      <c r="AO512" s="86"/>
      <c r="AP512" s="86"/>
      <c r="AQ512" s="86"/>
      <c r="AR512" s="86"/>
      <c r="AS512" s="86"/>
      <c r="AT512" s="86"/>
      <c r="AU512" s="86"/>
      <c r="AV512" s="86"/>
      <c r="AW512" s="86"/>
      <c r="AX512" s="86"/>
      <c r="AY512" s="86"/>
      <c r="AZ512" s="86"/>
      <c r="BA512" s="86"/>
      <c r="BB512" s="86"/>
      <c r="BC512" s="86"/>
      <c r="BD512" s="86"/>
      <c r="BE512" s="86"/>
      <c r="BF512" s="86"/>
      <c r="BG512" s="86"/>
      <c r="BH512" s="86"/>
      <c r="BI512" s="86"/>
      <c r="BJ512" s="86"/>
      <c r="BK512" s="86"/>
      <c r="BL512" s="86"/>
      <c r="BM512" s="86"/>
      <c r="BN512" s="86"/>
      <c r="BO512" s="86"/>
      <c r="BP512" s="86"/>
      <c r="BQ512" s="86"/>
      <c r="BR512" s="86"/>
      <c r="BS512" s="86"/>
      <c r="BT512" s="86"/>
      <c r="BU512" s="86"/>
    </row>
    <row r="513" spans="15:73"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  <c r="AM513" s="86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  <c r="AX513" s="86"/>
      <c r="AY513" s="86"/>
      <c r="AZ513" s="86"/>
      <c r="BA513" s="86"/>
      <c r="BB513" s="86"/>
      <c r="BC513" s="86"/>
      <c r="BD513" s="86"/>
      <c r="BE513" s="86"/>
      <c r="BF513" s="86"/>
      <c r="BG513" s="86"/>
      <c r="BH513" s="86"/>
      <c r="BI513" s="86"/>
      <c r="BJ513" s="86"/>
      <c r="BK513" s="86"/>
      <c r="BL513" s="86"/>
      <c r="BM513" s="86"/>
      <c r="BN513" s="86"/>
      <c r="BO513" s="86"/>
      <c r="BP513" s="86"/>
      <c r="BQ513" s="86"/>
      <c r="BR513" s="86"/>
      <c r="BS513" s="86"/>
      <c r="BT513" s="86"/>
      <c r="BU513" s="86"/>
    </row>
    <row r="514" spans="15:73"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  <c r="AM514" s="86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  <c r="AX514" s="86"/>
      <c r="AY514" s="86"/>
      <c r="AZ514" s="86"/>
      <c r="BA514" s="86"/>
      <c r="BB514" s="86"/>
      <c r="BC514" s="86"/>
      <c r="BD514" s="86"/>
      <c r="BE514" s="86"/>
      <c r="BF514" s="86"/>
      <c r="BG514" s="86"/>
      <c r="BH514" s="86"/>
      <c r="BI514" s="86"/>
      <c r="BJ514" s="86"/>
      <c r="BK514" s="86"/>
      <c r="BL514" s="86"/>
      <c r="BM514" s="86"/>
      <c r="BN514" s="86"/>
      <c r="BO514" s="86"/>
      <c r="BP514" s="86"/>
      <c r="BQ514" s="86"/>
      <c r="BR514" s="86"/>
      <c r="BS514" s="86"/>
      <c r="BT514" s="86"/>
      <c r="BU514" s="86"/>
    </row>
    <row r="515" spans="15:73"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6"/>
      <c r="BQ515" s="86"/>
      <c r="BR515" s="86"/>
      <c r="BS515" s="86"/>
      <c r="BT515" s="86"/>
      <c r="BU515" s="86"/>
    </row>
    <row r="516" spans="15:73"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  <c r="AM516" s="86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  <c r="AX516" s="86"/>
      <c r="AY516" s="86"/>
      <c r="AZ516" s="86"/>
      <c r="BA516" s="86"/>
      <c r="BB516" s="86"/>
      <c r="BC516" s="86"/>
      <c r="BD516" s="86"/>
      <c r="BE516" s="86"/>
      <c r="BF516" s="86"/>
      <c r="BG516" s="86"/>
      <c r="BH516" s="86"/>
      <c r="BI516" s="86"/>
      <c r="BJ516" s="86"/>
      <c r="BK516" s="86"/>
      <c r="BL516" s="86"/>
      <c r="BM516" s="86"/>
      <c r="BN516" s="86"/>
      <c r="BO516" s="86"/>
      <c r="BP516" s="86"/>
      <c r="BQ516" s="86"/>
      <c r="BR516" s="86"/>
      <c r="BS516" s="86"/>
      <c r="BT516" s="86"/>
      <c r="BU516" s="86"/>
    </row>
    <row r="517" spans="15:73"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  <c r="AM517" s="86"/>
      <c r="AN517" s="86"/>
      <c r="AO517" s="86"/>
      <c r="AP517" s="86"/>
      <c r="AQ517" s="86"/>
      <c r="AR517" s="86"/>
      <c r="AS517" s="86"/>
      <c r="AT517" s="86"/>
      <c r="AU517" s="86"/>
      <c r="AV517" s="86"/>
      <c r="AW517" s="86"/>
      <c r="AX517" s="86"/>
      <c r="AY517" s="86"/>
      <c r="AZ517" s="86"/>
      <c r="BA517" s="86"/>
      <c r="BB517" s="86"/>
      <c r="BC517" s="86"/>
      <c r="BD517" s="86"/>
      <c r="BE517" s="86"/>
      <c r="BF517" s="86"/>
      <c r="BG517" s="86"/>
      <c r="BH517" s="86"/>
      <c r="BI517" s="86"/>
      <c r="BJ517" s="86"/>
      <c r="BK517" s="86"/>
      <c r="BL517" s="86"/>
      <c r="BM517" s="86"/>
      <c r="BN517" s="86"/>
      <c r="BO517" s="86"/>
      <c r="BP517" s="86"/>
      <c r="BQ517" s="86"/>
      <c r="BR517" s="86"/>
      <c r="BS517" s="86"/>
      <c r="BT517" s="86"/>
      <c r="BU517" s="86"/>
    </row>
    <row r="518" spans="15:73"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  <c r="AM518" s="86"/>
      <c r="AN518" s="86"/>
      <c r="AO518" s="86"/>
      <c r="AP518" s="86"/>
      <c r="AQ518" s="86"/>
      <c r="AR518" s="86"/>
      <c r="AS518" s="86"/>
      <c r="AT518" s="86"/>
      <c r="AU518" s="86"/>
      <c r="AV518" s="86"/>
      <c r="AW518" s="86"/>
      <c r="AX518" s="86"/>
      <c r="AY518" s="86"/>
      <c r="AZ518" s="86"/>
      <c r="BA518" s="86"/>
      <c r="BB518" s="86"/>
      <c r="BC518" s="86"/>
      <c r="BD518" s="86"/>
      <c r="BE518" s="86"/>
      <c r="BF518" s="86"/>
      <c r="BG518" s="86"/>
      <c r="BH518" s="86"/>
      <c r="BI518" s="86"/>
      <c r="BJ518" s="86"/>
      <c r="BK518" s="86"/>
      <c r="BL518" s="86"/>
      <c r="BM518" s="86"/>
      <c r="BN518" s="86"/>
      <c r="BO518" s="86"/>
      <c r="BP518" s="86"/>
      <c r="BQ518" s="86"/>
      <c r="BR518" s="86"/>
      <c r="BS518" s="86"/>
      <c r="BT518" s="86"/>
      <c r="BU518" s="86"/>
    </row>
    <row r="519" spans="15:73"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  <c r="AM519" s="86"/>
      <c r="AN519" s="86"/>
      <c r="AO519" s="86"/>
      <c r="AP519" s="86"/>
      <c r="AQ519" s="86"/>
      <c r="AR519" s="86"/>
      <c r="AS519" s="86"/>
      <c r="AT519" s="86"/>
      <c r="AU519" s="86"/>
      <c r="AV519" s="86"/>
      <c r="AW519" s="86"/>
      <c r="AX519" s="86"/>
      <c r="AY519" s="86"/>
      <c r="AZ519" s="86"/>
      <c r="BA519" s="86"/>
      <c r="BB519" s="86"/>
      <c r="BC519" s="86"/>
      <c r="BD519" s="86"/>
      <c r="BE519" s="86"/>
      <c r="BF519" s="86"/>
      <c r="BG519" s="86"/>
      <c r="BH519" s="86"/>
      <c r="BI519" s="86"/>
      <c r="BJ519" s="86"/>
      <c r="BK519" s="86"/>
      <c r="BL519" s="86"/>
      <c r="BM519" s="86"/>
      <c r="BN519" s="86"/>
      <c r="BO519" s="86"/>
      <c r="BP519" s="86"/>
      <c r="BQ519" s="86"/>
      <c r="BR519" s="86"/>
      <c r="BS519" s="86"/>
      <c r="BT519" s="86"/>
      <c r="BU519" s="86"/>
    </row>
    <row r="520" spans="15:73"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  <c r="AM520" s="86"/>
      <c r="AN520" s="86"/>
      <c r="AO520" s="86"/>
      <c r="AP520" s="86"/>
      <c r="AQ520" s="86"/>
      <c r="AR520" s="86"/>
      <c r="AS520" s="86"/>
      <c r="AT520" s="86"/>
      <c r="AU520" s="86"/>
      <c r="AV520" s="86"/>
      <c r="AW520" s="86"/>
      <c r="AX520" s="86"/>
      <c r="AY520" s="86"/>
      <c r="AZ520" s="86"/>
      <c r="BA520" s="86"/>
      <c r="BB520" s="86"/>
      <c r="BC520" s="86"/>
      <c r="BD520" s="86"/>
      <c r="BE520" s="86"/>
      <c r="BF520" s="86"/>
      <c r="BG520" s="86"/>
      <c r="BH520" s="86"/>
      <c r="BI520" s="86"/>
      <c r="BJ520" s="86"/>
      <c r="BK520" s="86"/>
      <c r="BL520" s="86"/>
      <c r="BM520" s="86"/>
      <c r="BN520" s="86"/>
      <c r="BO520" s="86"/>
      <c r="BP520" s="86"/>
      <c r="BQ520" s="86"/>
      <c r="BR520" s="86"/>
      <c r="BS520" s="86"/>
      <c r="BT520" s="86"/>
      <c r="BU520" s="86"/>
    </row>
    <row r="521" spans="15:73"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  <c r="AM521" s="86"/>
      <c r="AN521" s="86"/>
      <c r="AO521" s="86"/>
      <c r="AP521" s="86"/>
      <c r="AQ521" s="86"/>
      <c r="AR521" s="86"/>
      <c r="AS521" s="86"/>
      <c r="AT521" s="86"/>
      <c r="AU521" s="86"/>
      <c r="AV521" s="86"/>
      <c r="AW521" s="86"/>
      <c r="AX521" s="86"/>
      <c r="AY521" s="86"/>
      <c r="AZ521" s="86"/>
      <c r="BA521" s="86"/>
      <c r="BB521" s="86"/>
      <c r="BC521" s="86"/>
      <c r="BD521" s="86"/>
      <c r="BE521" s="86"/>
      <c r="BF521" s="86"/>
      <c r="BG521" s="86"/>
      <c r="BH521" s="86"/>
      <c r="BI521" s="86"/>
      <c r="BJ521" s="86"/>
      <c r="BK521" s="86"/>
      <c r="BL521" s="86"/>
      <c r="BM521" s="86"/>
      <c r="BN521" s="86"/>
      <c r="BO521" s="86"/>
      <c r="BP521" s="86"/>
      <c r="BQ521" s="86"/>
      <c r="BR521" s="86"/>
      <c r="BS521" s="86"/>
      <c r="BT521" s="86"/>
      <c r="BU521" s="86"/>
    </row>
    <row r="522" spans="15:73"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  <c r="AM522" s="86"/>
      <c r="AN522" s="86"/>
      <c r="AO522" s="86"/>
      <c r="AP522" s="86"/>
      <c r="AQ522" s="86"/>
      <c r="AR522" s="86"/>
      <c r="AS522" s="86"/>
      <c r="AT522" s="86"/>
      <c r="AU522" s="86"/>
      <c r="AV522" s="86"/>
      <c r="AW522" s="86"/>
      <c r="AX522" s="86"/>
      <c r="AY522" s="86"/>
      <c r="AZ522" s="86"/>
      <c r="BA522" s="86"/>
      <c r="BB522" s="86"/>
      <c r="BC522" s="86"/>
      <c r="BD522" s="86"/>
      <c r="BE522" s="86"/>
      <c r="BF522" s="86"/>
      <c r="BG522" s="86"/>
      <c r="BH522" s="86"/>
      <c r="BI522" s="86"/>
      <c r="BJ522" s="86"/>
      <c r="BK522" s="86"/>
      <c r="BL522" s="86"/>
      <c r="BM522" s="86"/>
      <c r="BN522" s="86"/>
      <c r="BO522" s="86"/>
      <c r="BP522" s="86"/>
      <c r="BQ522" s="86"/>
      <c r="BR522" s="86"/>
      <c r="BS522" s="86"/>
      <c r="BT522" s="86"/>
      <c r="BU522" s="86"/>
    </row>
    <row r="523" spans="15:73"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6"/>
      <c r="AK523" s="86"/>
      <c r="AL523" s="86"/>
      <c r="AM523" s="86"/>
      <c r="AN523" s="86"/>
      <c r="AO523" s="86"/>
      <c r="AP523" s="86"/>
      <c r="AQ523" s="86"/>
      <c r="AR523" s="86"/>
      <c r="AS523" s="86"/>
      <c r="AT523" s="86"/>
      <c r="AU523" s="86"/>
      <c r="AV523" s="86"/>
      <c r="AW523" s="86"/>
      <c r="AX523" s="86"/>
      <c r="AY523" s="86"/>
      <c r="AZ523" s="86"/>
      <c r="BA523" s="86"/>
      <c r="BB523" s="86"/>
      <c r="BC523" s="86"/>
      <c r="BD523" s="86"/>
      <c r="BE523" s="86"/>
      <c r="BF523" s="86"/>
      <c r="BG523" s="86"/>
      <c r="BH523" s="86"/>
      <c r="BI523" s="86"/>
      <c r="BJ523" s="86"/>
      <c r="BK523" s="86"/>
      <c r="BL523" s="86"/>
      <c r="BM523" s="86"/>
      <c r="BN523" s="86"/>
      <c r="BO523" s="86"/>
      <c r="BP523" s="86"/>
      <c r="BQ523" s="86"/>
      <c r="BR523" s="86"/>
      <c r="BS523" s="86"/>
      <c r="BT523" s="86"/>
      <c r="BU523" s="86"/>
    </row>
    <row r="524" spans="15:73"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86"/>
      <c r="AO524" s="86"/>
      <c r="AP524" s="86"/>
      <c r="AQ524" s="86"/>
      <c r="AR524" s="86"/>
      <c r="AS524" s="86"/>
      <c r="AT524" s="86"/>
      <c r="AU524" s="86"/>
      <c r="AV524" s="86"/>
      <c r="AW524" s="86"/>
      <c r="AX524" s="86"/>
      <c r="AY524" s="86"/>
      <c r="AZ524" s="86"/>
      <c r="BA524" s="86"/>
      <c r="BB524" s="86"/>
      <c r="BC524" s="86"/>
      <c r="BD524" s="86"/>
      <c r="BE524" s="86"/>
      <c r="BF524" s="86"/>
      <c r="BG524" s="86"/>
      <c r="BH524" s="86"/>
      <c r="BI524" s="86"/>
      <c r="BJ524" s="86"/>
      <c r="BK524" s="86"/>
      <c r="BL524" s="86"/>
      <c r="BM524" s="86"/>
      <c r="BN524" s="86"/>
      <c r="BO524" s="86"/>
      <c r="BP524" s="86"/>
      <c r="BQ524" s="86"/>
      <c r="BR524" s="86"/>
      <c r="BS524" s="86"/>
      <c r="BT524" s="86"/>
      <c r="BU524" s="86"/>
    </row>
    <row r="525" spans="15:73"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  <c r="AM525" s="86"/>
      <c r="AN525" s="86"/>
      <c r="AO525" s="86"/>
      <c r="AP525" s="86"/>
      <c r="AQ525" s="86"/>
      <c r="AR525" s="86"/>
      <c r="AS525" s="86"/>
      <c r="AT525" s="86"/>
      <c r="AU525" s="86"/>
      <c r="AV525" s="86"/>
      <c r="AW525" s="86"/>
      <c r="AX525" s="86"/>
      <c r="AY525" s="86"/>
      <c r="AZ525" s="86"/>
      <c r="BA525" s="86"/>
      <c r="BB525" s="86"/>
      <c r="BC525" s="86"/>
      <c r="BD525" s="86"/>
      <c r="BE525" s="86"/>
      <c r="BF525" s="86"/>
      <c r="BG525" s="86"/>
      <c r="BH525" s="86"/>
      <c r="BI525" s="86"/>
      <c r="BJ525" s="86"/>
      <c r="BK525" s="86"/>
      <c r="BL525" s="86"/>
      <c r="BM525" s="86"/>
      <c r="BN525" s="86"/>
      <c r="BO525" s="86"/>
      <c r="BP525" s="86"/>
      <c r="BQ525" s="86"/>
      <c r="BR525" s="86"/>
      <c r="BS525" s="86"/>
      <c r="BT525" s="86"/>
      <c r="BU525" s="86"/>
    </row>
    <row r="526" spans="15:73"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  <c r="AM526" s="86"/>
      <c r="AN526" s="86"/>
      <c r="AO526" s="86"/>
      <c r="AP526" s="86"/>
      <c r="AQ526" s="86"/>
      <c r="AR526" s="86"/>
      <c r="AS526" s="86"/>
      <c r="AT526" s="86"/>
      <c r="AU526" s="86"/>
      <c r="AV526" s="86"/>
      <c r="AW526" s="86"/>
      <c r="AX526" s="86"/>
      <c r="AY526" s="86"/>
      <c r="AZ526" s="86"/>
      <c r="BA526" s="86"/>
      <c r="BB526" s="86"/>
      <c r="BC526" s="86"/>
      <c r="BD526" s="86"/>
      <c r="BE526" s="86"/>
      <c r="BF526" s="86"/>
      <c r="BG526" s="86"/>
      <c r="BH526" s="86"/>
      <c r="BI526" s="86"/>
      <c r="BJ526" s="86"/>
      <c r="BK526" s="86"/>
      <c r="BL526" s="86"/>
      <c r="BM526" s="86"/>
      <c r="BN526" s="86"/>
      <c r="BO526" s="86"/>
      <c r="BP526" s="86"/>
      <c r="BQ526" s="86"/>
      <c r="BR526" s="86"/>
      <c r="BS526" s="86"/>
      <c r="BT526" s="86"/>
      <c r="BU526" s="86"/>
    </row>
    <row r="527" spans="15:73"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6"/>
      <c r="AK527" s="86"/>
      <c r="AL527" s="86"/>
      <c r="AM527" s="86"/>
      <c r="AN527" s="86"/>
      <c r="AO527" s="86"/>
      <c r="AP527" s="86"/>
      <c r="AQ527" s="86"/>
      <c r="AR527" s="86"/>
      <c r="AS527" s="86"/>
      <c r="AT527" s="86"/>
      <c r="AU527" s="86"/>
      <c r="AV527" s="86"/>
      <c r="AW527" s="86"/>
      <c r="AX527" s="86"/>
      <c r="AY527" s="86"/>
      <c r="AZ527" s="86"/>
      <c r="BA527" s="86"/>
      <c r="BB527" s="86"/>
      <c r="BC527" s="86"/>
      <c r="BD527" s="86"/>
      <c r="BE527" s="86"/>
      <c r="BF527" s="86"/>
      <c r="BG527" s="86"/>
      <c r="BH527" s="86"/>
      <c r="BI527" s="86"/>
      <c r="BJ527" s="86"/>
      <c r="BK527" s="86"/>
      <c r="BL527" s="86"/>
      <c r="BM527" s="86"/>
      <c r="BN527" s="86"/>
      <c r="BO527" s="86"/>
      <c r="BP527" s="86"/>
      <c r="BQ527" s="86"/>
      <c r="BR527" s="86"/>
      <c r="BS527" s="86"/>
      <c r="BT527" s="86"/>
      <c r="BU527" s="86"/>
    </row>
    <row r="528" spans="15:73"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  <c r="AM528" s="86"/>
      <c r="AN528" s="86"/>
      <c r="AO528" s="86"/>
      <c r="AP528" s="86"/>
      <c r="AQ528" s="86"/>
      <c r="AR528" s="86"/>
      <c r="AS528" s="86"/>
      <c r="AT528" s="86"/>
      <c r="AU528" s="86"/>
      <c r="AV528" s="86"/>
      <c r="AW528" s="86"/>
      <c r="AX528" s="86"/>
      <c r="AY528" s="86"/>
      <c r="AZ528" s="86"/>
      <c r="BA528" s="86"/>
      <c r="BB528" s="86"/>
      <c r="BC528" s="86"/>
      <c r="BD528" s="86"/>
      <c r="BE528" s="86"/>
      <c r="BF528" s="86"/>
      <c r="BG528" s="86"/>
      <c r="BH528" s="86"/>
      <c r="BI528" s="86"/>
      <c r="BJ528" s="86"/>
      <c r="BK528" s="86"/>
      <c r="BL528" s="86"/>
      <c r="BM528" s="86"/>
      <c r="BN528" s="86"/>
      <c r="BO528" s="86"/>
      <c r="BP528" s="86"/>
      <c r="BQ528" s="86"/>
      <c r="BR528" s="86"/>
      <c r="BS528" s="86"/>
      <c r="BT528" s="86"/>
      <c r="BU528" s="86"/>
    </row>
    <row r="529" spans="15:73"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  <c r="AM529" s="86"/>
      <c r="AN529" s="86"/>
      <c r="AO529" s="86"/>
      <c r="AP529" s="86"/>
      <c r="AQ529" s="86"/>
      <c r="AR529" s="86"/>
      <c r="AS529" s="86"/>
      <c r="AT529" s="86"/>
      <c r="AU529" s="86"/>
      <c r="AV529" s="86"/>
      <c r="AW529" s="86"/>
      <c r="AX529" s="86"/>
      <c r="AY529" s="86"/>
      <c r="AZ529" s="86"/>
      <c r="BA529" s="86"/>
      <c r="BB529" s="86"/>
      <c r="BC529" s="86"/>
      <c r="BD529" s="86"/>
      <c r="BE529" s="86"/>
      <c r="BF529" s="86"/>
      <c r="BG529" s="86"/>
      <c r="BH529" s="86"/>
      <c r="BI529" s="86"/>
      <c r="BJ529" s="86"/>
      <c r="BK529" s="86"/>
      <c r="BL529" s="86"/>
      <c r="BM529" s="86"/>
      <c r="BN529" s="86"/>
      <c r="BO529" s="86"/>
      <c r="BP529" s="86"/>
      <c r="BQ529" s="86"/>
      <c r="BR529" s="86"/>
      <c r="BS529" s="86"/>
      <c r="BT529" s="86"/>
      <c r="BU529" s="86"/>
    </row>
    <row r="530" spans="15:73"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  <c r="AM530" s="86"/>
      <c r="AN530" s="86"/>
      <c r="AO530" s="86"/>
      <c r="AP530" s="86"/>
      <c r="AQ530" s="86"/>
      <c r="AR530" s="86"/>
      <c r="AS530" s="86"/>
      <c r="AT530" s="86"/>
      <c r="AU530" s="86"/>
      <c r="AV530" s="86"/>
      <c r="AW530" s="86"/>
      <c r="AX530" s="86"/>
      <c r="AY530" s="86"/>
      <c r="AZ530" s="86"/>
      <c r="BA530" s="86"/>
      <c r="BB530" s="86"/>
      <c r="BC530" s="86"/>
      <c r="BD530" s="86"/>
      <c r="BE530" s="86"/>
      <c r="BF530" s="86"/>
      <c r="BG530" s="86"/>
      <c r="BH530" s="86"/>
      <c r="BI530" s="86"/>
      <c r="BJ530" s="86"/>
      <c r="BK530" s="86"/>
      <c r="BL530" s="86"/>
      <c r="BM530" s="86"/>
      <c r="BN530" s="86"/>
      <c r="BO530" s="86"/>
      <c r="BP530" s="86"/>
      <c r="BQ530" s="86"/>
      <c r="BR530" s="86"/>
      <c r="BS530" s="86"/>
      <c r="BT530" s="86"/>
      <c r="BU530" s="86"/>
    </row>
    <row r="531" spans="15:73"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  <c r="AM531" s="86"/>
      <c r="AN531" s="86"/>
      <c r="AO531" s="86"/>
      <c r="AP531" s="86"/>
      <c r="AQ531" s="86"/>
      <c r="AR531" s="86"/>
      <c r="AS531" s="86"/>
      <c r="AT531" s="86"/>
      <c r="AU531" s="86"/>
      <c r="AV531" s="86"/>
      <c r="AW531" s="86"/>
      <c r="AX531" s="86"/>
      <c r="AY531" s="86"/>
      <c r="AZ531" s="86"/>
      <c r="BA531" s="86"/>
      <c r="BB531" s="86"/>
      <c r="BC531" s="86"/>
      <c r="BD531" s="86"/>
      <c r="BE531" s="86"/>
      <c r="BF531" s="86"/>
      <c r="BG531" s="86"/>
      <c r="BH531" s="86"/>
      <c r="BI531" s="86"/>
      <c r="BJ531" s="86"/>
      <c r="BK531" s="86"/>
      <c r="BL531" s="86"/>
      <c r="BM531" s="86"/>
      <c r="BN531" s="86"/>
      <c r="BO531" s="86"/>
      <c r="BP531" s="86"/>
      <c r="BQ531" s="86"/>
      <c r="BR531" s="86"/>
      <c r="BS531" s="86"/>
      <c r="BT531" s="86"/>
      <c r="BU531" s="86"/>
    </row>
    <row r="532" spans="15:73"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  <c r="AM532" s="86"/>
      <c r="AN532" s="86"/>
      <c r="AO532" s="86"/>
      <c r="AP532" s="86"/>
      <c r="AQ532" s="86"/>
      <c r="AR532" s="86"/>
      <c r="AS532" s="86"/>
      <c r="AT532" s="86"/>
      <c r="AU532" s="86"/>
      <c r="AV532" s="86"/>
      <c r="AW532" s="86"/>
      <c r="AX532" s="86"/>
      <c r="AY532" s="86"/>
      <c r="AZ532" s="86"/>
      <c r="BA532" s="86"/>
      <c r="BB532" s="86"/>
      <c r="BC532" s="86"/>
      <c r="BD532" s="86"/>
      <c r="BE532" s="86"/>
      <c r="BF532" s="86"/>
      <c r="BG532" s="86"/>
      <c r="BH532" s="86"/>
      <c r="BI532" s="86"/>
      <c r="BJ532" s="86"/>
      <c r="BK532" s="86"/>
      <c r="BL532" s="86"/>
      <c r="BM532" s="86"/>
      <c r="BN532" s="86"/>
      <c r="BO532" s="86"/>
      <c r="BP532" s="86"/>
      <c r="BQ532" s="86"/>
      <c r="BR532" s="86"/>
      <c r="BS532" s="86"/>
      <c r="BT532" s="86"/>
      <c r="BU532" s="86"/>
    </row>
    <row r="533" spans="15:73"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  <c r="AM533" s="86"/>
      <c r="AN533" s="86"/>
      <c r="AO533" s="86"/>
      <c r="AP533" s="86"/>
      <c r="AQ533" s="86"/>
      <c r="AR533" s="86"/>
      <c r="AS533" s="86"/>
      <c r="AT533" s="86"/>
      <c r="AU533" s="86"/>
      <c r="AV533" s="86"/>
      <c r="AW533" s="86"/>
      <c r="AX533" s="86"/>
      <c r="AY533" s="86"/>
      <c r="AZ533" s="86"/>
      <c r="BA533" s="86"/>
      <c r="BB533" s="86"/>
      <c r="BC533" s="86"/>
      <c r="BD533" s="86"/>
      <c r="BE533" s="86"/>
      <c r="BF533" s="86"/>
      <c r="BG533" s="86"/>
      <c r="BH533" s="86"/>
      <c r="BI533" s="86"/>
      <c r="BJ533" s="86"/>
      <c r="BK533" s="86"/>
      <c r="BL533" s="86"/>
      <c r="BM533" s="86"/>
      <c r="BN533" s="86"/>
      <c r="BO533" s="86"/>
      <c r="BP533" s="86"/>
      <c r="BQ533" s="86"/>
      <c r="BR533" s="86"/>
      <c r="BS533" s="86"/>
      <c r="BT533" s="86"/>
      <c r="BU533" s="86"/>
    </row>
    <row r="534" spans="15:73"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86"/>
      <c r="AL534" s="86"/>
      <c r="AM534" s="86"/>
      <c r="AN534" s="86"/>
      <c r="AO534" s="86"/>
      <c r="AP534" s="86"/>
      <c r="AQ534" s="86"/>
      <c r="AR534" s="86"/>
      <c r="AS534" s="86"/>
      <c r="AT534" s="86"/>
      <c r="AU534" s="86"/>
      <c r="AV534" s="86"/>
      <c r="AW534" s="86"/>
      <c r="AX534" s="86"/>
      <c r="AY534" s="86"/>
      <c r="AZ534" s="86"/>
      <c r="BA534" s="86"/>
      <c r="BB534" s="86"/>
      <c r="BC534" s="86"/>
      <c r="BD534" s="86"/>
      <c r="BE534" s="86"/>
      <c r="BF534" s="86"/>
      <c r="BG534" s="86"/>
      <c r="BH534" s="86"/>
      <c r="BI534" s="86"/>
      <c r="BJ534" s="86"/>
      <c r="BK534" s="86"/>
      <c r="BL534" s="86"/>
      <c r="BM534" s="86"/>
      <c r="BN534" s="86"/>
      <c r="BO534" s="86"/>
      <c r="BP534" s="86"/>
      <c r="BQ534" s="86"/>
      <c r="BR534" s="86"/>
      <c r="BS534" s="86"/>
      <c r="BT534" s="86"/>
      <c r="BU534" s="86"/>
    </row>
    <row r="535" spans="15:73"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  <c r="AM535" s="86"/>
      <c r="AN535" s="86"/>
      <c r="AO535" s="86"/>
      <c r="AP535" s="86"/>
      <c r="AQ535" s="86"/>
      <c r="AR535" s="86"/>
      <c r="AS535" s="86"/>
      <c r="AT535" s="86"/>
      <c r="AU535" s="86"/>
      <c r="AV535" s="86"/>
      <c r="AW535" s="86"/>
      <c r="AX535" s="86"/>
      <c r="AY535" s="86"/>
      <c r="AZ535" s="86"/>
      <c r="BA535" s="86"/>
      <c r="BB535" s="86"/>
      <c r="BC535" s="86"/>
      <c r="BD535" s="86"/>
      <c r="BE535" s="86"/>
      <c r="BF535" s="86"/>
      <c r="BG535" s="86"/>
      <c r="BH535" s="86"/>
      <c r="BI535" s="86"/>
      <c r="BJ535" s="86"/>
      <c r="BK535" s="86"/>
      <c r="BL535" s="86"/>
      <c r="BM535" s="86"/>
      <c r="BN535" s="86"/>
      <c r="BO535" s="86"/>
      <c r="BP535" s="86"/>
      <c r="BQ535" s="86"/>
      <c r="BR535" s="86"/>
      <c r="BS535" s="86"/>
      <c r="BT535" s="86"/>
      <c r="BU535" s="86"/>
    </row>
    <row r="536" spans="15:73"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6"/>
      <c r="AK536" s="86"/>
      <c r="AL536" s="86"/>
      <c r="AM536" s="86"/>
      <c r="AN536" s="86"/>
      <c r="AO536" s="86"/>
      <c r="AP536" s="86"/>
      <c r="AQ536" s="86"/>
      <c r="AR536" s="86"/>
      <c r="AS536" s="86"/>
      <c r="AT536" s="86"/>
      <c r="AU536" s="86"/>
      <c r="AV536" s="86"/>
      <c r="AW536" s="86"/>
      <c r="AX536" s="86"/>
      <c r="AY536" s="86"/>
      <c r="AZ536" s="86"/>
      <c r="BA536" s="86"/>
      <c r="BB536" s="86"/>
      <c r="BC536" s="86"/>
      <c r="BD536" s="86"/>
      <c r="BE536" s="86"/>
      <c r="BF536" s="86"/>
      <c r="BG536" s="86"/>
      <c r="BH536" s="86"/>
      <c r="BI536" s="86"/>
      <c r="BJ536" s="86"/>
      <c r="BK536" s="86"/>
      <c r="BL536" s="86"/>
      <c r="BM536" s="86"/>
      <c r="BN536" s="86"/>
      <c r="BO536" s="86"/>
      <c r="BP536" s="86"/>
      <c r="BQ536" s="86"/>
      <c r="BR536" s="86"/>
      <c r="BS536" s="86"/>
      <c r="BT536" s="86"/>
      <c r="BU536" s="86"/>
    </row>
    <row r="537" spans="15:73"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86"/>
      <c r="AM537" s="86"/>
      <c r="AN537" s="86"/>
      <c r="AO537" s="86"/>
      <c r="AP537" s="86"/>
      <c r="AQ537" s="86"/>
      <c r="AR537" s="86"/>
      <c r="AS537" s="86"/>
      <c r="AT537" s="86"/>
      <c r="AU537" s="86"/>
      <c r="AV537" s="86"/>
      <c r="AW537" s="86"/>
      <c r="AX537" s="86"/>
      <c r="AY537" s="86"/>
      <c r="AZ537" s="86"/>
      <c r="BA537" s="86"/>
      <c r="BB537" s="86"/>
      <c r="BC537" s="86"/>
      <c r="BD537" s="86"/>
      <c r="BE537" s="86"/>
      <c r="BF537" s="86"/>
      <c r="BG537" s="86"/>
      <c r="BH537" s="86"/>
      <c r="BI537" s="86"/>
      <c r="BJ537" s="86"/>
      <c r="BK537" s="86"/>
      <c r="BL537" s="86"/>
      <c r="BM537" s="86"/>
      <c r="BN537" s="86"/>
      <c r="BO537" s="86"/>
      <c r="BP537" s="86"/>
      <c r="BQ537" s="86"/>
      <c r="BR537" s="86"/>
      <c r="BS537" s="86"/>
      <c r="BT537" s="86"/>
      <c r="BU537" s="86"/>
    </row>
    <row r="538" spans="15:73"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6"/>
      <c r="AK538" s="86"/>
      <c r="AL538" s="86"/>
      <c r="AM538" s="86"/>
      <c r="AN538" s="86"/>
      <c r="AO538" s="86"/>
      <c r="AP538" s="86"/>
      <c r="AQ538" s="86"/>
      <c r="AR538" s="86"/>
      <c r="AS538" s="86"/>
      <c r="AT538" s="86"/>
      <c r="AU538" s="86"/>
      <c r="AV538" s="86"/>
      <c r="AW538" s="86"/>
      <c r="AX538" s="86"/>
      <c r="AY538" s="86"/>
      <c r="AZ538" s="86"/>
      <c r="BA538" s="86"/>
      <c r="BB538" s="86"/>
      <c r="BC538" s="86"/>
      <c r="BD538" s="86"/>
      <c r="BE538" s="86"/>
      <c r="BF538" s="86"/>
      <c r="BG538" s="86"/>
      <c r="BH538" s="86"/>
      <c r="BI538" s="86"/>
      <c r="BJ538" s="86"/>
      <c r="BK538" s="86"/>
      <c r="BL538" s="86"/>
      <c r="BM538" s="86"/>
      <c r="BN538" s="86"/>
      <c r="BO538" s="86"/>
      <c r="BP538" s="86"/>
      <c r="BQ538" s="86"/>
      <c r="BR538" s="86"/>
      <c r="BS538" s="86"/>
      <c r="BT538" s="86"/>
      <c r="BU538" s="86"/>
    </row>
    <row r="539" spans="15:73"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6"/>
      <c r="AK539" s="86"/>
      <c r="AL539" s="86"/>
      <c r="AM539" s="86"/>
      <c r="AN539" s="86"/>
      <c r="AO539" s="86"/>
      <c r="AP539" s="86"/>
      <c r="AQ539" s="86"/>
      <c r="AR539" s="86"/>
      <c r="AS539" s="86"/>
      <c r="AT539" s="86"/>
      <c r="AU539" s="86"/>
      <c r="AV539" s="86"/>
      <c r="AW539" s="86"/>
      <c r="AX539" s="86"/>
      <c r="AY539" s="86"/>
      <c r="AZ539" s="86"/>
      <c r="BA539" s="86"/>
      <c r="BB539" s="86"/>
      <c r="BC539" s="86"/>
      <c r="BD539" s="86"/>
      <c r="BE539" s="86"/>
      <c r="BF539" s="86"/>
      <c r="BG539" s="86"/>
      <c r="BH539" s="86"/>
      <c r="BI539" s="86"/>
      <c r="BJ539" s="86"/>
      <c r="BK539" s="86"/>
      <c r="BL539" s="86"/>
      <c r="BM539" s="86"/>
      <c r="BN539" s="86"/>
      <c r="BO539" s="86"/>
      <c r="BP539" s="86"/>
      <c r="BQ539" s="86"/>
      <c r="BR539" s="86"/>
      <c r="BS539" s="86"/>
      <c r="BT539" s="86"/>
      <c r="BU539" s="86"/>
    </row>
    <row r="540" spans="15:73"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86"/>
      <c r="AL540" s="86"/>
      <c r="AM540" s="86"/>
      <c r="AN540" s="86"/>
      <c r="AO540" s="86"/>
      <c r="AP540" s="86"/>
      <c r="AQ540" s="86"/>
      <c r="AR540" s="86"/>
      <c r="AS540" s="86"/>
      <c r="AT540" s="86"/>
      <c r="AU540" s="86"/>
      <c r="AV540" s="86"/>
      <c r="AW540" s="86"/>
      <c r="AX540" s="86"/>
      <c r="AY540" s="86"/>
      <c r="AZ540" s="86"/>
      <c r="BA540" s="86"/>
      <c r="BB540" s="86"/>
      <c r="BC540" s="86"/>
      <c r="BD540" s="86"/>
      <c r="BE540" s="86"/>
      <c r="BF540" s="86"/>
      <c r="BG540" s="86"/>
      <c r="BH540" s="86"/>
      <c r="BI540" s="86"/>
      <c r="BJ540" s="86"/>
      <c r="BK540" s="86"/>
      <c r="BL540" s="86"/>
      <c r="BM540" s="86"/>
      <c r="BN540" s="86"/>
      <c r="BO540" s="86"/>
      <c r="BP540" s="86"/>
      <c r="BQ540" s="86"/>
      <c r="BR540" s="86"/>
      <c r="BS540" s="86"/>
      <c r="BT540" s="86"/>
      <c r="BU540" s="86"/>
    </row>
    <row r="541" spans="15:73"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  <c r="AM541" s="86"/>
      <c r="AN541" s="86"/>
      <c r="AO541" s="86"/>
      <c r="AP541" s="86"/>
      <c r="AQ541" s="86"/>
      <c r="AR541" s="86"/>
      <c r="AS541" s="86"/>
      <c r="AT541" s="86"/>
      <c r="AU541" s="86"/>
      <c r="AV541" s="86"/>
      <c r="AW541" s="86"/>
      <c r="AX541" s="86"/>
      <c r="AY541" s="86"/>
      <c r="AZ541" s="86"/>
      <c r="BA541" s="86"/>
      <c r="BB541" s="86"/>
      <c r="BC541" s="86"/>
      <c r="BD541" s="86"/>
      <c r="BE541" s="86"/>
      <c r="BF541" s="86"/>
      <c r="BG541" s="86"/>
      <c r="BH541" s="86"/>
      <c r="BI541" s="86"/>
      <c r="BJ541" s="86"/>
      <c r="BK541" s="86"/>
      <c r="BL541" s="86"/>
      <c r="BM541" s="86"/>
      <c r="BN541" s="86"/>
      <c r="BO541" s="86"/>
      <c r="BP541" s="86"/>
      <c r="BQ541" s="86"/>
      <c r="BR541" s="86"/>
      <c r="BS541" s="86"/>
      <c r="BT541" s="86"/>
      <c r="BU541" s="86"/>
    </row>
    <row r="542" spans="15:73"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  <c r="AM542" s="86"/>
      <c r="AN542" s="86"/>
      <c r="AO542" s="86"/>
      <c r="AP542" s="86"/>
      <c r="AQ542" s="86"/>
      <c r="AR542" s="86"/>
      <c r="AS542" s="86"/>
      <c r="AT542" s="86"/>
      <c r="AU542" s="86"/>
      <c r="AV542" s="86"/>
      <c r="AW542" s="86"/>
      <c r="AX542" s="86"/>
      <c r="AY542" s="86"/>
      <c r="AZ542" s="86"/>
      <c r="BA542" s="86"/>
      <c r="BB542" s="86"/>
      <c r="BC542" s="86"/>
      <c r="BD542" s="86"/>
      <c r="BE542" s="86"/>
      <c r="BF542" s="86"/>
      <c r="BG542" s="86"/>
      <c r="BH542" s="86"/>
      <c r="BI542" s="86"/>
      <c r="BJ542" s="86"/>
      <c r="BK542" s="86"/>
      <c r="BL542" s="86"/>
      <c r="BM542" s="86"/>
      <c r="BN542" s="86"/>
      <c r="BO542" s="86"/>
      <c r="BP542" s="86"/>
      <c r="BQ542" s="86"/>
      <c r="BR542" s="86"/>
      <c r="BS542" s="86"/>
      <c r="BT542" s="86"/>
      <c r="BU542" s="86"/>
    </row>
    <row r="543" spans="15:73"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86"/>
      <c r="AM543" s="86"/>
      <c r="AN543" s="86"/>
      <c r="AO543" s="86"/>
      <c r="AP543" s="86"/>
      <c r="AQ543" s="86"/>
      <c r="AR543" s="86"/>
      <c r="AS543" s="86"/>
      <c r="AT543" s="86"/>
      <c r="AU543" s="86"/>
      <c r="AV543" s="86"/>
      <c r="AW543" s="86"/>
      <c r="AX543" s="86"/>
      <c r="AY543" s="86"/>
      <c r="AZ543" s="86"/>
      <c r="BA543" s="86"/>
      <c r="BB543" s="86"/>
      <c r="BC543" s="86"/>
      <c r="BD543" s="86"/>
      <c r="BE543" s="86"/>
      <c r="BF543" s="86"/>
      <c r="BG543" s="86"/>
      <c r="BH543" s="86"/>
      <c r="BI543" s="86"/>
      <c r="BJ543" s="86"/>
      <c r="BK543" s="86"/>
      <c r="BL543" s="86"/>
      <c r="BM543" s="86"/>
      <c r="BN543" s="86"/>
      <c r="BO543" s="86"/>
      <c r="BP543" s="86"/>
      <c r="BQ543" s="86"/>
      <c r="BR543" s="86"/>
      <c r="BS543" s="86"/>
      <c r="BT543" s="86"/>
      <c r="BU543" s="86"/>
    </row>
    <row r="544" spans="15:73"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86"/>
      <c r="AM544" s="86"/>
      <c r="AN544" s="86"/>
      <c r="AO544" s="86"/>
      <c r="AP544" s="86"/>
      <c r="AQ544" s="86"/>
      <c r="AR544" s="86"/>
      <c r="AS544" s="86"/>
      <c r="AT544" s="86"/>
      <c r="AU544" s="86"/>
      <c r="AV544" s="86"/>
      <c r="AW544" s="86"/>
      <c r="AX544" s="86"/>
      <c r="AY544" s="86"/>
      <c r="AZ544" s="86"/>
      <c r="BA544" s="86"/>
      <c r="BB544" s="86"/>
      <c r="BC544" s="86"/>
      <c r="BD544" s="86"/>
      <c r="BE544" s="86"/>
      <c r="BF544" s="86"/>
      <c r="BG544" s="86"/>
      <c r="BH544" s="86"/>
      <c r="BI544" s="86"/>
      <c r="BJ544" s="86"/>
      <c r="BK544" s="86"/>
      <c r="BL544" s="86"/>
      <c r="BM544" s="86"/>
      <c r="BN544" s="86"/>
      <c r="BO544" s="86"/>
      <c r="BP544" s="86"/>
      <c r="BQ544" s="86"/>
      <c r="BR544" s="86"/>
      <c r="BS544" s="86"/>
      <c r="BT544" s="86"/>
      <c r="BU544" s="86"/>
    </row>
    <row r="545" spans="15:73"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86"/>
      <c r="AM545" s="86"/>
      <c r="AN545" s="86"/>
      <c r="AO545" s="86"/>
      <c r="AP545" s="86"/>
      <c r="AQ545" s="86"/>
      <c r="AR545" s="86"/>
      <c r="AS545" s="86"/>
      <c r="AT545" s="86"/>
      <c r="AU545" s="86"/>
      <c r="AV545" s="86"/>
      <c r="AW545" s="86"/>
      <c r="AX545" s="86"/>
      <c r="AY545" s="86"/>
      <c r="AZ545" s="86"/>
      <c r="BA545" s="86"/>
      <c r="BB545" s="86"/>
      <c r="BC545" s="86"/>
      <c r="BD545" s="86"/>
      <c r="BE545" s="86"/>
      <c r="BF545" s="86"/>
      <c r="BG545" s="86"/>
      <c r="BH545" s="86"/>
      <c r="BI545" s="86"/>
      <c r="BJ545" s="86"/>
      <c r="BK545" s="86"/>
      <c r="BL545" s="86"/>
      <c r="BM545" s="86"/>
      <c r="BN545" s="86"/>
      <c r="BO545" s="86"/>
      <c r="BP545" s="86"/>
      <c r="BQ545" s="86"/>
      <c r="BR545" s="86"/>
      <c r="BS545" s="86"/>
      <c r="BT545" s="86"/>
      <c r="BU545" s="86"/>
    </row>
    <row r="546" spans="15:73"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  <c r="AM546" s="86"/>
      <c r="AN546" s="86"/>
      <c r="AO546" s="86"/>
      <c r="AP546" s="86"/>
      <c r="AQ546" s="86"/>
      <c r="AR546" s="86"/>
      <c r="AS546" s="86"/>
      <c r="AT546" s="86"/>
      <c r="AU546" s="86"/>
      <c r="AV546" s="86"/>
      <c r="AW546" s="86"/>
      <c r="AX546" s="86"/>
      <c r="AY546" s="86"/>
      <c r="AZ546" s="86"/>
      <c r="BA546" s="86"/>
      <c r="BB546" s="86"/>
      <c r="BC546" s="86"/>
      <c r="BD546" s="86"/>
      <c r="BE546" s="86"/>
      <c r="BF546" s="86"/>
      <c r="BG546" s="86"/>
      <c r="BH546" s="86"/>
      <c r="BI546" s="86"/>
      <c r="BJ546" s="86"/>
      <c r="BK546" s="86"/>
      <c r="BL546" s="86"/>
      <c r="BM546" s="86"/>
      <c r="BN546" s="86"/>
      <c r="BO546" s="86"/>
      <c r="BP546" s="86"/>
      <c r="BQ546" s="86"/>
      <c r="BR546" s="86"/>
      <c r="BS546" s="86"/>
      <c r="BT546" s="86"/>
      <c r="BU546" s="86"/>
    </row>
    <row r="547" spans="15:73"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86"/>
      <c r="AM547" s="86"/>
      <c r="AN547" s="86"/>
      <c r="AO547" s="86"/>
      <c r="AP547" s="86"/>
      <c r="AQ547" s="86"/>
      <c r="AR547" s="86"/>
      <c r="AS547" s="86"/>
      <c r="AT547" s="86"/>
      <c r="AU547" s="86"/>
      <c r="AV547" s="86"/>
      <c r="AW547" s="86"/>
      <c r="AX547" s="86"/>
      <c r="AY547" s="86"/>
      <c r="AZ547" s="86"/>
      <c r="BA547" s="86"/>
      <c r="BB547" s="86"/>
      <c r="BC547" s="86"/>
      <c r="BD547" s="86"/>
      <c r="BE547" s="86"/>
      <c r="BF547" s="86"/>
      <c r="BG547" s="86"/>
      <c r="BH547" s="86"/>
      <c r="BI547" s="86"/>
      <c r="BJ547" s="86"/>
      <c r="BK547" s="86"/>
      <c r="BL547" s="86"/>
      <c r="BM547" s="86"/>
      <c r="BN547" s="86"/>
      <c r="BO547" s="86"/>
      <c r="BP547" s="86"/>
      <c r="BQ547" s="86"/>
      <c r="BR547" s="86"/>
      <c r="BS547" s="86"/>
      <c r="BT547" s="86"/>
      <c r="BU547" s="86"/>
    </row>
    <row r="548" spans="15:73"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6"/>
      <c r="AK548" s="86"/>
      <c r="AL548" s="86"/>
      <c r="AM548" s="86"/>
      <c r="AN548" s="86"/>
      <c r="AO548" s="86"/>
      <c r="AP548" s="86"/>
      <c r="AQ548" s="86"/>
      <c r="AR548" s="86"/>
      <c r="AS548" s="86"/>
      <c r="AT548" s="86"/>
      <c r="AU548" s="86"/>
      <c r="AV548" s="86"/>
      <c r="AW548" s="86"/>
      <c r="AX548" s="86"/>
      <c r="AY548" s="86"/>
      <c r="AZ548" s="86"/>
      <c r="BA548" s="86"/>
      <c r="BB548" s="86"/>
      <c r="BC548" s="86"/>
      <c r="BD548" s="86"/>
      <c r="BE548" s="86"/>
      <c r="BF548" s="86"/>
      <c r="BG548" s="86"/>
      <c r="BH548" s="86"/>
      <c r="BI548" s="86"/>
      <c r="BJ548" s="86"/>
      <c r="BK548" s="86"/>
      <c r="BL548" s="86"/>
      <c r="BM548" s="86"/>
      <c r="BN548" s="86"/>
      <c r="BO548" s="86"/>
      <c r="BP548" s="86"/>
      <c r="BQ548" s="86"/>
      <c r="BR548" s="86"/>
      <c r="BS548" s="86"/>
      <c r="BT548" s="86"/>
      <c r="BU548" s="86"/>
    </row>
    <row r="549" spans="15:73"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6"/>
      <c r="AK549" s="86"/>
      <c r="AL549" s="86"/>
      <c r="AM549" s="86"/>
      <c r="AN549" s="86"/>
      <c r="AO549" s="86"/>
      <c r="AP549" s="86"/>
      <c r="AQ549" s="86"/>
      <c r="AR549" s="86"/>
      <c r="AS549" s="86"/>
      <c r="AT549" s="86"/>
      <c r="AU549" s="86"/>
      <c r="AV549" s="86"/>
      <c r="AW549" s="86"/>
      <c r="AX549" s="86"/>
      <c r="AY549" s="86"/>
      <c r="AZ549" s="86"/>
      <c r="BA549" s="86"/>
      <c r="BB549" s="86"/>
      <c r="BC549" s="86"/>
      <c r="BD549" s="86"/>
      <c r="BE549" s="86"/>
      <c r="BF549" s="86"/>
      <c r="BG549" s="86"/>
      <c r="BH549" s="86"/>
      <c r="BI549" s="86"/>
      <c r="BJ549" s="86"/>
      <c r="BK549" s="86"/>
      <c r="BL549" s="86"/>
      <c r="BM549" s="86"/>
      <c r="BN549" s="86"/>
      <c r="BO549" s="86"/>
      <c r="BP549" s="86"/>
      <c r="BQ549" s="86"/>
      <c r="BR549" s="86"/>
      <c r="BS549" s="86"/>
      <c r="BT549" s="86"/>
      <c r="BU549" s="86"/>
    </row>
    <row r="550" spans="15:73"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86"/>
      <c r="AM550" s="86"/>
      <c r="AN550" s="86"/>
      <c r="AO550" s="86"/>
      <c r="AP550" s="86"/>
      <c r="AQ550" s="86"/>
      <c r="AR550" s="86"/>
      <c r="AS550" s="86"/>
      <c r="AT550" s="86"/>
      <c r="AU550" s="86"/>
      <c r="AV550" s="86"/>
      <c r="AW550" s="86"/>
      <c r="AX550" s="86"/>
      <c r="AY550" s="86"/>
      <c r="AZ550" s="86"/>
      <c r="BA550" s="86"/>
      <c r="BB550" s="86"/>
      <c r="BC550" s="86"/>
      <c r="BD550" s="86"/>
      <c r="BE550" s="86"/>
      <c r="BF550" s="86"/>
      <c r="BG550" s="86"/>
      <c r="BH550" s="86"/>
      <c r="BI550" s="86"/>
      <c r="BJ550" s="86"/>
      <c r="BK550" s="86"/>
      <c r="BL550" s="86"/>
      <c r="BM550" s="86"/>
      <c r="BN550" s="86"/>
      <c r="BO550" s="86"/>
      <c r="BP550" s="86"/>
      <c r="BQ550" s="86"/>
      <c r="BR550" s="86"/>
      <c r="BS550" s="86"/>
      <c r="BT550" s="86"/>
      <c r="BU550" s="86"/>
    </row>
    <row r="551" spans="15:73"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6"/>
      <c r="AK551" s="86"/>
      <c r="AL551" s="86"/>
      <c r="AM551" s="86"/>
      <c r="AN551" s="86"/>
      <c r="AO551" s="86"/>
      <c r="AP551" s="86"/>
      <c r="AQ551" s="86"/>
      <c r="AR551" s="86"/>
      <c r="AS551" s="86"/>
      <c r="AT551" s="86"/>
      <c r="AU551" s="86"/>
      <c r="AV551" s="86"/>
      <c r="AW551" s="86"/>
      <c r="AX551" s="86"/>
      <c r="AY551" s="86"/>
      <c r="AZ551" s="86"/>
      <c r="BA551" s="86"/>
      <c r="BB551" s="86"/>
      <c r="BC551" s="86"/>
      <c r="BD551" s="86"/>
      <c r="BE551" s="86"/>
      <c r="BF551" s="86"/>
      <c r="BG551" s="86"/>
      <c r="BH551" s="86"/>
      <c r="BI551" s="86"/>
      <c r="BJ551" s="86"/>
      <c r="BK551" s="86"/>
      <c r="BL551" s="86"/>
      <c r="BM551" s="86"/>
      <c r="BN551" s="86"/>
      <c r="BO551" s="86"/>
      <c r="BP551" s="86"/>
      <c r="BQ551" s="86"/>
      <c r="BR551" s="86"/>
      <c r="BS551" s="86"/>
      <c r="BT551" s="86"/>
      <c r="BU551" s="86"/>
    </row>
  </sheetData>
  <dataConsolidate link="1"/>
  <phoneticPr fontId="40" type="noConversion"/>
  <pageMargins left="0.75" right="0.75" top="1" bottom="1" header="0.5" footer="0.5"/>
  <pageSetup scale="53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M36"/>
  <sheetViews>
    <sheetView showGridLines="0" topLeftCell="A12" zoomScaleNormal="100" workbookViewId="0"/>
  </sheetViews>
  <sheetFormatPr defaultColWidth="9.109375" defaultRowHeight="13.2"/>
  <cols>
    <col min="1" max="1" width="16" customWidth="1"/>
    <col min="2" max="2" width="12.33203125" bestFit="1" customWidth="1"/>
    <col min="3" max="3" width="13.44140625" bestFit="1" customWidth="1"/>
    <col min="4" max="4" width="11.109375" bestFit="1" customWidth="1"/>
    <col min="5" max="5" width="13.44140625" bestFit="1" customWidth="1"/>
    <col min="6" max="6" width="1.6640625" customWidth="1"/>
    <col min="7" max="7" width="14.44140625" bestFit="1" customWidth="1"/>
    <col min="8" max="9" width="13.44140625" bestFit="1" customWidth="1"/>
    <col min="10" max="10" width="10.6640625" customWidth="1"/>
    <col min="11" max="11" width="13.5546875" customWidth="1"/>
    <col min="12" max="12" width="11.6640625" bestFit="1" customWidth="1"/>
  </cols>
  <sheetData>
    <row r="1" spans="1:12" ht="13.8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</row>
    <row r="2" spans="1:12" ht="13.8">
      <c r="A2" s="15"/>
      <c r="B2" s="180" t="s">
        <v>58</v>
      </c>
      <c r="C2" s="180"/>
      <c r="D2" s="180"/>
      <c r="E2" s="180"/>
      <c r="F2" s="15"/>
      <c r="G2" s="180" t="s">
        <v>59</v>
      </c>
      <c r="H2" s="180"/>
      <c r="I2" s="180"/>
      <c r="J2" s="15"/>
    </row>
    <row r="3" spans="1:12" ht="13.8">
      <c r="A3" s="15" t="s">
        <v>17</v>
      </c>
      <c r="B3" s="17" t="s">
        <v>20</v>
      </c>
      <c r="C3" s="20"/>
      <c r="D3" s="20"/>
      <c r="E3" s="20"/>
      <c r="F3" s="20"/>
      <c r="G3" s="20"/>
      <c r="H3" s="20"/>
      <c r="I3" s="20"/>
      <c r="J3" s="17" t="s">
        <v>60</v>
      </c>
    </row>
    <row r="4" spans="1:12" ht="13.8">
      <c r="A4" s="21" t="s">
        <v>61</v>
      </c>
      <c r="B4" s="23" t="s">
        <v>62</v>
      </c>
      <c r="C4" s="23" t="s">
        <v>26</v>
      </c>
      <c r="D4" s="23" t="s">
        <v>27</v>
      </c>
      <c r="E4" s="25" t="s">
        <v>63</v>
      </c>
      <c r="F4" s="24"/>
      <c r="G4" s="23" t="s">
        <v>64</v>
      </c>
      <c r="H4" s="23" t="s">
        <v>65</v>
      </c>
      <c r="I4" s="23" t="s">
        <v>63</v>
      </c>
      <c r="J4" s="23" t="s">
        <v>66</v>
      </c>
    </row>
    <row r="5" spans="1:12" ht="14.4">
      <c r="A5" s="15"/>
      <c r="B5" s="181" t="s">
        <v>67</v>
      </c>
      <c r="C5" s="181"/>
      <c r="D5" s="181"/>
      <c r="E5" s="181"/>
      <c r="F5" s="181"/>
      <c r="G5" s="181"/>
      <c r="H5" s="181"/>
      <c r="I5" s="181"/>
      <c r="J5" s="181"/>
    </row>
    <row r="6" spans="1:12" ht="13.8">
      <c r="A6" s="15" t="s">
        <v>34</v>
      </c>
      <c r="B6" s="38">
        <v>340.786</v>
      </c>
      <c r="C6" s="39">
        <v>51814.455000000002</v>
      </c>
      <c r="D6" s="39">
        <v>654.51012091299992</v>
      </c>
      <c r="E6" s="28">
        <f>SUM(B6:D6)</f>
        <v>52809.751120913003</v>
      </c>
      <c r="F6" s="39"/>
      <c r="G6" s="39">
        <f>E6-H6-J6</f>
        <v>38958.712222688002</v>
      </c>
      <c r="H6" s="39">
        <v>13540.111898224999</v>
      </c>
      <c r="I6" s="39">
        <f>E6-J6</f>
        <v>52498.824120912999</v>
      </c>
      <c r="J6" s="39">
        <v>310.92700000000002</v>
      </c>
    </row>
    <row r="7" spans="1:12" ht="16.2">
      <c r="A7" s="15" t="s">
        <v>35</v>
      </c>
      <c r="B7" s="38">
        <f>J6</f>
        <v>310.92700000000002</v>
      </c>
      <c r="C7" s="39">
        <f>C23</f>
        <v>52493.097999999998</v>
      </c>
      <c r="D7" s="39">
        <f>D23</f>
        <v>632.09806422399993</v>
      </c>
      <c r="E7" s="28">
        <f>SUM(B7:D7)</f>
        <v>53436.123064224004</v>
      </c>
      <c r="F7" s="39"/>
      <c r="G7" s="39">
        <f>E7-H7-J7</f>
        <v>38401.723957986855</v>
      </c>
      <c r="H7" s="39">
        <f>H23</f>
        <v>14663.508106237146</v>
      </c>
      <c r="I7" s="39">
        <f>E7-J7</f>
        <v>53065.232064224001</v>
      </c>
      <c r="J7" s="39">
        <f>J22</f>
        <v>370.89100000000002</v>
      </c>
      <c r="K7" s="165"/>
      <c r="L7" s="166"/>
    </row>
    <row r="8" spans="1:12" ht="16.2">
      <c r="A8" s="15" t="s">
        <v>36</v>
      </c>
      <c r="B8" s="38">
        <f>J7</f>
        <v>370.89100000000002</v>
      </c>
      <c r="C8" s="39">
        <v>54254.108999999997</v>
      </c>
      <c r="D8" s="39">
        <v>600</v>
      </c>
      <c r="E8" s="28">
        <f>SUM(B8:D8)</f>
        <v>55225</v>
      </c>
      <c r="F8" s="39"/>
      <c r="G8" s="39">
        <v>39025</v>
      </c>
      <c r="H8" s="39">
        <v>15800</v>
      </c>
      <c r="I8" s="39">
        <f>SUM(G8:H8)</f>
        <v>54825</v>
      </c>
      <c r="J8" s="39">
        <f>E8-I8</f>
        <v>400</v>
      </c>
      <c r="L8" s="167"/>
    </row>
    <row r="9" spans="1:12" ht="13.8">
      <c r="A9" s="15"/>
      <c r="B9" s="40"/>
      <c r="C9" s="40"/>
      <c r="D9" s="40"/>
      <c r="E9" s="40"/>
      <c r="F9" s="40"/>
      <c r="G9" s="39"/>
      <c r="H9" s="40"/>
      <c r="I9" s="40"/>
      <c r="J9" s="40"/>
    </row>
    <row r="10" spans="1:12" ht="13.8">
      <c r="A10" s="31" t="s">
        <v>37</v>
      </c>
      <c r="B10" s="41"/>
      <c r="C10" s="6"/>
      <c r="D10" s="6"/>
      <c r="E10" s="6"/>
      <c r="F10" s="6"/>
      <c r="G10" s="6"/>
      <c r="H10" s="6"/>
      <c r="I10" s="6"/>
      <c r="J10" s="6"/>
    </row>
    <row r="11" spans="1:12" ht="14.4">
      <c r="A11" s="15" t="s">
        <v>39</v>
      </c>
      <c r="B11" s="41">
        <f>J6</f>
        <v>310.92700000000002</v>
      </c>
      <c r="C11" s="6">
        <v>4603.3959999999997</v>
      </c>
      <c r="D11" s="6">
        <f>(52509.6*1.10231)/1000</f>
        <v>57.88185717599999</v>
      </c>
      <c r="E11" s="6">
        <f t="shared" ref="E11:E22" si="0">SUM(B11:D11)</f>
        <v>4972.2048571759997</v>
      </c>
      <c r="F11" s="6"/>
      <c r="G11" s="6">
        <f>I11-H11</f>
        <v>3639.9264505289998</v>
      </c>
      <c r="H11" s="6">
        <f>(865513.7*1.10231)/1000</f>
        <v>954.06440664699983</v>
      </c>
      <c r="I11" s="5">
        <f>E11-J11</f>
        <v>4593.9908571759997</v>
      </c>
      <c r="J11" s="6">
        <v>378.214</v>
      </c>
      <c r="K11" s="87"/>
      <c r="L11" s="89"/>
    </row>
    <row r="12" spans="1:12" ht="14.4">
      <c r="A12" s="15" t="s">
        <v>40</v>
      </c>
      <c r="B12" s="41">
        <f t="shared" ref="B12:B17" si="1">J11</f>
        <v>378.214</v>
      </c>
      <c r="C12" s="6">
        <v>4469.9660000000003</v>
      </c>
      <c r="D12" s="6">
        <f>(53341.5*1.10231)/1000</f>
        <v>58.798868864999996</v>
      </c>
      <c r="E12" s="6">
        <f t="shared" si="0"/>
        <v>4906.9788688650005</v>
      </c>
      <c r="F12" s="6"/>
      <c r="G12" s="6">
        <f t="shared" ref="G12:G19" si="2">I12-H12</f>
        <v>3367.700833154001</v>
      </c>
      <c r="H12" s="6">
        <f>(1079708.1*1.10231)/1000</f>
        <v>1190.173035711</v>
      </c>
      <c r="I12" s="5">
        <f t="shared" ref="I12:I22" si="3">E12-J12</f>
        <v>4557.873868865001</v>
      </c>
      <c r="J12" s="6">
        <v>349.10500000000002</v>
      </c>
      <c r="K12" s="87"/>
      <c r="L12" s="89"/>
    </row>
    <row r="13" spans="1:12" ht="14.4">
      <c r="A13" s="15" t="s">
        <v>42</v>
      </c>
      <c r="B13" s="41">
        <f t="shared" si="1"/>
        <v>349.10500000000002</v>
      </c>
      <c r="C13" s="6">
        <v>4437.4089999999997</v>
      </c>
      <c r="D13" s="6">
        <f>(32194.3*1.10231)/1000</f>
        <v>35.488098832999995</v>
      </c>
      <c r="E13" s="6">
        <f t="shared" si="0"/>
        <v>4822.0020988329989</v>
      </c>
      <c r="F13" s="6"/>
      <c r="G13" s="6">
        <f t="shared" si="2"/>
        <v>3173.9462998459985</v>
      </c>
      <c r="H13" s="6">
        <f>(1081527.7*1.10231)/1000</f>
        <v>1192.1787989869997</v>
      </c>
      <c r="I13" s="5">
        <f t="shared" si="3"/>
        <v>4366.1250988329984</v>
      </c>
      <c r="J13" s="6">
        <v>455.87700000000001</v>
      </c>
      <c r="K13" s="87"/>
      <c r="L13" s="89"/>
    </row>
    <row r="14" spans="1:12" ht="14.4">
      <c r="A14" s="15" t="s">
        <v>43</v>
      </c>
      <c r="B14" s="41">
        <f t="shared" si="1"/>
        <v>455.87700000000001</v>
      </c>
      <c r="C14" s="6">
        <v>4540.9090000000006</v>
      </c>
      <c r="D14" s="6">
        <f>(87357.8*1.10231)/1000</f>
        <v>96.295376517999983</v>
      </c>
      <c r="E14" s="6">
        <f t="shared" si="0"/>
        <v>5093.081376518001</v>
      </c>
      <c r="F14" s="6"/>
      <c r="G14" s="6">
        <f t="shared" si="2"/>
        <v>3101.8863894670012</v>
      </c>
      <c r="H14" s="6">
        <f>(1404622.1*1.10231)/1000</f>
        <v>1548.3289870509998</v>
      </c>
      <c r="I14" s="5">
        <f t="shared" si="3"/>
        <v>4650.215376518001</v>
      </c>
      <c r="J14" s="6">
        <v>442.86599999999999</v>
      </c>
      <c r="K14" s="87"/>
      <c r="L14" s="89"/>
    </row>
    <row r="15" spans="1:12" ht="14.4">
      <c r="A15" s="15" t="s">
        <v>44</v>
      </c>
      <c r="B15" s="41">
        <f t="shared" si="1"/>
        <v>442.86599999999999</v>
      </c>
      <c r="C15" s="6">
        <v>4197.5839999999998</v>
      </c>
      <c r="D15" s="6">
        <f>(40187.2*1.10231)/1000</f>
        <v>44.298752431999993</v>
      </c>
      <c r="E15" s="6">
        <f t="shared" si="0"/>
        <v>4684.7487524319995</v>
      </c>
      <c r="F15" s="6"/>
      <c r="G15" s="6">
        <f t="shared" si="2"/>
        <v>3189.261751647</v>
      </c>
      <c r="H15" s="6">
        <f>(925173.5*1.10231)/1000</f>
        <v>1019.828000785</v>
      </c>
      <c r="I15" s="5">
        <f t="shared" si="3"/>
        <v>4209.0897524319998</v>
      </c>
      <c r="J15" s="6">
        <v>475.65899999999999</v>
      </c>
      <c r="K15" s="87"/>
      <c r="L15" s="89"/>
    </row>
    <row r="16" spans="1:12" ht="14.4">
      <c r="A16" s="15" t="s">
        <v>46</v>
      </c>
      <c r="B16" s="41">
        <f t="shared" si="1"/>
        <v>475.65899999999999</v>
      </c>
      <c r="C16" s="6">
        <v>4698.1610000000001</v>
      </c>
      <c r="D16" s="6">
        <f>(43410.1*1.10231)/1000</f>
        <v>47.851387330999991</v>
      </c>
      <c r="E16" s="6">
        <f t="shared" si="0"/>
        <v>5221.671387331</v>
      </c>
      <c r="F16" s="6"/>
      <c r="G16" s="6">
        <f t="shared" si="2"/>
        <v>3369.7769356149997</v>
      </c>
      <c r="H16" s="6">
        <f>(1336143.6*1.10231)/1000</f>
        <v>1472.8444517160001</v>
      </c>
      <c r="I16" s="5">
        <f t="shared" si="3"/>
        <v>4842.6213873309998</v>
      </c>
      <c r="J16" s="6">
        <v>379.04999999999995</v>
      </c>
      <c r="K16" s="87"/>
      <c r="L16" s="89"/>
    </row>
    <row r="17" spans="1:13" ht="14.4">
      <c r="A17" s="15" t="s">
        <v>47</v>
      </c>
      <c r="B17" s="41">
        <f t="shared" si="1"/>
        <v>379.04999999999995</v>
      </c>
      <c r="C17" s="6">
        <v>4433.6350000000002</v>
      </c>
      <c r="D17" s="6">
        <f>(25951.8*1.10231)/1000</f>
        <v>28.606928657999998</v>
      </c>
      <c r="E17" s="6">
        <f t="shared" si="0"/>
        <v>4841.291928658</v>
      </c>
      <c r="F17" s="6"/>
      <c r="G17" s="6">
        <f t="shared" si="2"/>
        <v>3019.334526696</v>
      </c>
      <c r="H17" s="6">
        <f>(1128650.2*1.10231)/1000</f>
        <v>1244.1224019619999</v>
      </c>
      <c r="I17" s="5">
        <f t="shared" si="3"/>
        <v>4263.4569286579999</v>
      </c>
      <c r="J17" s="6">
        <v>577.83499999999992</v>
      </c>
      <c r="K17" s="87"/>
      <c r="L17" s="89"/>
    </row>
    <row r="18" spans="1:13" ht="14.4">
      <c r="A18" s="15" t="s">
        <v>48</v>
      </c>
      <c r="B18" s="41">
        <f>J17</f>
        <v>577.83499999999992</v>
      </c>
      <c r="C18" s="6">
        <v>4461.268</v>
      </c>
      <c r="D18" s="6">
        <f>(50047.9*1.10231)/1000</f>
        <v>55.168300648999995</v>
      </c>
      <c r="E18" s="6">
        <f t="shared" si="0"/>
        <v>5094.2713006490003</v>
      </c>
      <c r="F18" s="6"/>
      <c r="G18" s="6">
        <f t="shared" si="2"/>
        <v>3474.6210888970008</v>
      </c>
      <c r="H18" s="6">
        <f>(1080559.2*1.10231)/1000</f>
        <v>1191.1112117519997</v>
      </c>
      <c r="I18" s="5">
        <f t="shared" si="3"/>
        <v>4665.7323006490005</v>
      </c>
      <c r="J18" s="6">
        <v>428.53899999999999</v>
      </c>
      <c r="K18" s="87"/>
      <c r="L18" s="89"/>
    </row>
    <row r="19" spans="1:13" ht="14.4">
      <c r="A19" s="15" t="s">
        <v>50</v>
      </c>
      <c r="B19" s="41">
        <f>J18</f>
        <v>428.53899999999999</v>
      </c>
      <c r="C19" s="6">
        <v>4152.3280000000004</v>
      </c>
      <c r="D19" s="6">
        <f>(47135.7*1.10231)/1000</f>
        <v>51.958153466999988</v>
      </c>
      <c r="E19" s="6">
        <f t="shared" si="0"/>
        <v>4632.8251534669998</v>
      </c>
      <c r="F19" s="6"/>
      <c r="G19" s="6">
        <f t="shared" si="2"/>
        <v>2878.4011494959996</v>
      </c>
      <c r="H19" s="6">
        <f>(1259954.1*1.10231)/1000</f>
        <v>1388.860003971</v>
      </c>
      <c r="I19" s="5">
        <f>E19-J19</f>
        <v>4267.2611534669995</v>
      </c>
      <c r="J19" s="6">
        <v>365.56400000000002</v>
      </c>
      <c r="K19" s="87"/>
    </row>
    <row r="20" spans="1:13" ht="14.4">
      <c r="A20" s="15" t="s">
        <v>51</v>
      </c>
      <c r="B20" s="41">
        <f>J19</f>
        <v>365.56400000000002</v>
      </c>
      <c r="C20" s="6">
        <v>4362.93</v>
      </c>
      <c r="D20" s="6">
        <f>(44990.2*1.10231)/1000</f>
        <v>49.593147361999989</v>
      </c>
      <c r="E20" s="6">
        <f t="shared" si="0"/>
        <v>4778.0871473620009</v>
      </c>
      <c r="F20" s="6"/>
      <c r="G20" s="6">
        <f>I20-H20</f>
        <v>3114.3274682730016</v>
      </c>
      <c r="H20" s="6">
        <f>(1083371.9*1.10231)/1000</f>
        <v>1194.2116790889997</v>
      </c>
      <c r="I20" s="5">
        <f t="shared" si="3"/>
        <v>4308.5391473620011</v>
      </c>
      <c r="J20" s="6">
        <v>469.548</v>
      </c>
      <c r="K20" s="87"/>
    </row>
    <row r="21" spans="1:13" ht="14.4">
      <c r="A21" s="15" t="s">
        <v>52</v>
      </c>
      <c r="B21" s="41">
        <f>J20</f>
        <v>469.548</v>
      </c>
      <c r="C21" s="6">
        <v>4029.8919999999998</v>
      </c>
      <c r="D21" s="6">
        <f>(49385.1*1.10231)/1000</f>
        <v>54.437689580999994</v>
      </c>
      <c r="E21" s="6">
        <f t="shared" si="0"/>
        <v>4553.8776895809997</v>
      </c>
      <c r="F21" s="6"/>
      <c r="G21" s="6">
        <f t="shared" ref="G21:G22" si="4">I21-H21</f>
        <v>3059.2082030979991</v>
      </c>
      <c r="H21" s="6">
        <f>(1068509.3*1.10231)/1000</f>
        <v>1177.828486483</v>
      </c>
      <c r="I21" s="5">
        <f t="shared" si="3"/>
        <v>4237.0366895809993</v>
      </c>
      <c r="J21" s="6">
        <v>316.84100000000001</v>
      </c>
      <c r="K21" s="87"/>
    </row>
    <row r="22" spans="1:13" ht="14.4">
      <c r="A22" s="15" t="s">
        <v>38</v>
      </c>
      <c r="B22" s="41">
        <f>J21</f>
        <v>316.84100000000001</v>
      </c>
      <c r="C22" s="6">
        <v>4105.62</v>
      </c>
      <c r="D22" s="6">
        <f>(46919.3*1.10231)/1000</f>
        <v>51.719613582999997</v>
      </c>
      <c r="E22" s="6">
        <f t="shared" si="0"/>
        <v>4474.1806135830002</v>
      </c>
      <c r="F22" s="6"/>
      <c r="G22" s="6">
        <f t="shared" si="4"/>
        <v>3013.3502875580007</v>
      </c>
      <c r="H22" s="6">
        <f>(988777.5*1.10231)/1000</f>
        <v>1089.9393260249999</v>
      </c>
      <c r="I22" s="5">
        <f t="shared" si="3"/>
        <v>4103.2896135830006</v>
      </c>
      <c r="J22" s="6">
        <v>370.89100000000002</v>
      </c>
      <c r="K22" s="90"/>
    </row>
    <row r="23" spans="1:13" ht="14.4">
      <c r="A23" s="15" t="s">
        <v>28</v>
      </c>
      <c r="B23" s="41"/>
      <c r="C23" s="6">
        <f>SUM(C11:C22)</f>
        <v>52493.097999999998</v>
      </c>
      <c r="D23" s="6">
        <f>(573430.4*1.10231)/1000</f>
        <v>632.09806422399993</v>
      </c>
      <c r="E23" s="6">
        <f>B11+C23+D23</f>
        <v>53436.123064224004</v>
      </c>
      <c r="F23" s="6"/>
      <c r="G23" s="6">
        <f>SUM(G11:G22)</f>
        <v>38401.741384276</v>
      </c>
      <c r="H23" s="6">
        <f>(13302510.8*1.10231131)/1000</f>
        <v>14663.508106237146</v>
      </c>
      <c r="I23" s="5">
        <f>SUM(I11:I22)</f>
        <v>53065.232174455006</v>
      </c>
      <c r="J23" s="6"/>
      <c r="K23" s="87"/>
    </row>
    <row r="24" spans="1:13" ht="14.4">
      <c r="A24" s="15"/>
      <c r="B24" s="41"/>
      <c r="C24" s="6"/>
      <c r="D24" s="6"/>
      <c r="E24" s="6"/>
      <c r="F24" s="6"/>
      <c r="G24" s="6"/>
      <c r="H24" s="6"/>
      <c r="I24" s="6"/>
      <c r="J24" s="6"/>
      <c r="K24" s="87"/>
    </row>
    <row r="25" spans="1:13" ht="14.4">
      <c r="A25" s="31" t="s">
        <v>54</v>
      </c>
      <c r="B25" s="41"/>
      <c r="C25" s="6"/>
      <c r="D25" s="6"/>
      <c r="E25" s="6"/>
      <c r="F25" s="6"/>
      <c r="G25" s="6"/>
      <c r="H25" s="6"/>
      <c r="I25" s="6"/>
      <c r="J25" s="6"/>
      <c r="K25" s="87"/>
    </row>
    <row r="26" spans="1:13" ht="14.4">
      <c r="A26" s="15" t="s">
        <v>39</v>
      </c>
      <c r="B26" s="112">
        <f>J22</f>
        <v>370.89100000000002</v>
      </c>
      <c r="C26" s="113">
        <v>4738.4830000000002</v>
      </c>
      <c r="D26" s="6">
        <f>(43328.6*1.10231)/1000</f>
        <v>47.761549065999994</v>
      </c>
      <c r="E26" s="6">
        <f>SUM(B26:D26)</f>
        <v>5157.1355490659998</v>
      </c>
      <c r="F26" s="6"/>
      <c r="G26" s="6">
        <f>I26-H26</f>
        <v>3508.2654674079995</v>
      </c>
      <c r="H26" s="6">
        <f>(1192251.8*1.10231)/1000</f>
        <v>1314.231081658</v>
      </c>
      <c r="I26" s="103">
        <f>E26-J26</f>
        <v>4822.4965490659997</v>
      </c>
      <c r="J26" s="113">
        <v>334.63900000000001</v>
      </c>
      <c r="K26" s="87"/>
    </row>
    <row r="27" spans="1:13" ht="14.4">
      <c r="A27" s="15" t="s">
        <v>40</v>
      </c>
      <c r="B27" s="41">
        <f>J26</f>
        <v>334.63900000000001</v>
      </c>
      <c r="C27" s="6">
        <v>4706.2079999999996</v>
      </c>
      <c r="D27" s="6">
        <f>(48386*1.10231)/1000</f>
        <v>53.336371659999998</v>
      </c>
      <c r="E27" s="6">
        <f>SUM(B27:D27)</f>
        <v>5094.1833716599995</v>
      </c>
      <c r="F27" s="6"/>
      <c r="G27" s="6">
        <f>I27-H27</f>
        <v>3323.0084968819997</v>
      </c>
      <c r="H27" s="6">
        <f>(1330603.8*1.10231)/1000</f>
        <v>1466.7378747779999</v>
      </c>
      <c r="I27" s="6">
        <f>E27-J27</f>
        <v>4789.7463716599996</v>
      </c>
      <c r="J27" s="6">
        <v>304.43700000000001</v>
      </c>
      <c r="K27" s="87"/>
    </row>
    <row r="28" spans="1:13" ht="14.4">
      <c r="A28" s="15" t="s">
        <v>42</v>
      </c>
      <c r="B28" s="41">
        <f>J27</f>
        <v>304.43700000000001</v>
      </c>
      <c r="C28" s="6">
        <v>4818.3419999999996</v>
      </c>
      <c r="D28" s="107">
        <f>(53080.8*1.10231)/1000</f>
        <v>58.511496647999998</v>
      </c>
      <c r="E28" s="107">
        <f>SUM(B28:D28)</f>
        <v>5181.2904966479991</v>
      </c>
      <c r="F28" s="107"/>
      <c r="G28" s="107">
        <f>I28-H28</f>
        <v>3083.7882748589991</v>
      </c>
      <c r="H28" s="107">
        <f>(1448541.9*1.10231)/1000</f>
        <v>1596.7422217889998</v>
      </c>
      <c r="I28" s="107">
        <f>E28-J28</f>
        <v>4680.5304966479989</v>
      </c>
      <c r="J28" s="6">
        <v>500.76</v>
      </c>
      <c r="K28" s="87"/>
      <c r="L28" s="35"/>
    </row>
    <row r="29" spans="1:13" ht="14.4">
      <c r="A29" s="15" t="s">
        <v>43</v>
      </c>
      <c r="B29" s="41">
        <f>J28</f>
        <v>500.76</v>
      </c>
      <c r="C29" s="6">
        <v>4595.6220000000003</v>
      </c>
      <c r="D29" s="107">
        <f>(53674.5*1.10231)/1000</f>
        <v>59.165938094999994</v>
      </c>
      <c r="E29" s="107">
        <f>SUM(B29:D29)</f>
        <v>5155.5479380950001</v>
      </c>
      <c r="F29" s="107"/>
      <c r="G29" s="107">
        <f>I29-H29</f>
        <v>3288.6776487350007</v>
      </c>
      <c r="H29" s="107">
        <f>(1376056*1.10231)/1000</f>
        <v>1516.8402893599998</v>
      </c>
      <c r="I29" s="107">
        <f>E29-J29</f>
        <v>4805.5179380950003</v>
      </c>
      <c r="J29" s="6">
        <v>350.03</v>
      </c>
      <c r="K29" s="87"/>
      <c r="L29" s="35"/>
      <c r="M29" s="96"/>
    </row>
    <row r="30" spans="1:13" ht="16.2">
      <c r="A30" s="82" t="s">
        <v>68</v>
      </c>
      <c r="B30" s="72"/>
      <c r="C30" s="72"/>
      <c r="D30" s="72"/>
      <c r="E30" s="72"/>
      <c r="F30" s="72"/>
      <c r="G30" s="72"/>
      <c r="H30" s="72"/>
      <c r="I30" s="72"/>
      <c r="J30" s="72"/>
    </row>
    <row r="31" spans="1:13" ht="14.4">
      <c r="A31" s="15" t="s">
        <v>69</v>
      </c>
      <c r="B31" s="15"/>
      <c r="C31" s="15"/>
      <c r="D31" s="15"/>
      <c r="E31" s="15"/>
      <c r="F31" s="15"/>
      <c r="G31" s="15"/>
      <c r="H31" s="15"/>
      <c r="I31" s="15"/>
      <c r="J31" s="15"/>
    </row>
    <row r="32" spans="1:13" ht="13.8">
      <c r="A32" s="20" t="s">
        <v>57</v>
      </c>
      <c r="B32" s="37">
        <f>Contents!A16</f>
        <v>45363</v>
      </c>
      <c r="C32" s="34"/>
      <c r="D32" s="29"/>
      <c r="E32" s="29"/>
      <c r="F32" s="29"/>
      <c r="G32" s="29"/>
      <c r="H32" s="29"/>
      <c r="I32" s="29"/>
      <c r="J32" s="29"/>
    </row>
    <row r="33" spans="2:10">
      <c r="B33" s="43"/>
      <c r="C33" s="44"/>
      <c r="D33" s="43"/>
      <c r="E33" s="84"/>
      <c r="F33" s="43"/>
      <c r="G33" s="43"/>
      <c r="H33" s="45"/>
      <c r="I33" s="84"/>
      <c r="J33" s="43"/>
    </row>
    <row r="34" spans="2:10">
      <c r="B34" s="43"/>
      <c r="C34" s="43"/>
      <c r="D34" s="43"/>
      <c r="E34" s="43"/>
      <c r="F34" s="43"/>
      <c r="G34" s="43"/>
      <c r="H34" s="43"/>
      <c r="I34" s="43"/>
      <c r="J34" s="43"/>
    </row>
    <row r="35" spans="2:10">
      <c r="G35" s="35"/>
    </row>
    <row r="36" spans="2:10">
      <c r="G36" s="94"/>
    </row>
  </sheetData>
  <mergeCells count="3">
    <mergeCell ref="G2:I2"/>
    <mergeCell ref="B5:J5"/>
    <mergeCell ref="B2:E2"/>
  </mergeCells>
  <phoneticPr fontId="40" type="noConversion"/>
  <pageMargins left="0.75" right="0.75" top="1" bottom="1" header="0.5" footer="0.5"/>
  <pageSetup scale="8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T34"/>
  <sheetViews>
    <sheetView showGridLines="0" zoomScaleNormal="100" workbookViewId="0">
      <pane xSplit="1" ySplit="1" topLeftCell="B12" activePane="bottomRight" state="frozen"/>
      <selection pane="topRight" activeCell="B1" sqref="B1"/>
      <selection pane="bottomLeft" activeCell="B1" sqref="B1"/>
      <selection pane="bottomRight"/>
    </sheetView>
  </sheetViews>
  <sheetFormatPr defaultColWidth="9.109375" defaultRowHeight="13.2"/>
  <cols>
    <col min="1" max="1" width="15.44140625" customWidth="1"/>
    <col min="2" max="2" width="12.33203125" bestFit="1" customWidth="1"/>
    <col min="3" max="3" width="12.109375" bestFit="1" customWidth="1"/>
    <col min="4" max="4" width="11" bestFit="1" customWidth="1"/>
    <col min="5" max="5" width="12.33203125" customWidth="1"/>
    <col min="6" max="6" width="3.6640625" customWidth="1"/>
    <col min="7" max="7" width="11.5546875" bestFit="1" customWidth="1"/>
    <col min="8" max="8" width="12.33203125" customWidth="1"/>
    <col min="9" max="9" width="12.6640625" customWidth="1"/>
    <col min="10" max="10" width="9.6640625" bestFit="1" customWidth="1"/>
    <col min="11" max="11" width="11.5546875" bestFit="1" customWidth="1"/>
    <col min="12" max="12" width="12.5546875" bestFit="1" customWidth="1"/>
    <col min="14" max="14" width="11.109375" customWidth="1"/>
  </cols>
  <sheetData>
    <row r="1" spans="1:20" ht="13.8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20" ht="13.8">
      <c r="A2" s="15"/>
      <c r="B2" s="180" t="s">
        <v>58</v>
      </c>
      <c r="C2" s="180"/>
      <c r="D2" s="180"/>
      <c r="E2" s="180"/>
      <c r="F2" s="15"/>
      <c r="G2" s="180" t="s">
        <v>59</v>
      </c>
      <c r="H2" s="180"/>
      <c r="I2" s="180"/>
      <c r="J2" s="145"/>
      <c r="K2" s="145"/>
      <c r="L2" s="15"/>
    </row>
    <row r="3" spans="1:20" ht="13.8">
      <c r="A3" s="15" t="s">
        <v>17</v>
      </c>
      <c r="B3" s="17" t="s">
        <v>70</v>
      </c>
      <c r="C3" s="17" t="s">
        <v>26</v>
      </c>
      <c r="D3" s="17" t="s">
        <v>71</v>
      </c>
      <c r="E3" s="17" t="s">
        <v>63</v>
      </c>
      <c r="F3" s="17"/>
      <c r="G3" s="145" t="s">
        <v>64</v>
      </c>
      <c r="H3" s="145"/>
      <c r="I3" s="145"/>
      <c r="J3" s="17" t="s">
        <v>72</v>
      </c>
      <c r="K3" s="17" t="s">
        <v>63</v>
      </c>
      <c r="L3" s="17" t="s">
        <v>60</v>
      </c>
    </row>
    <row r="4" spans="1:20" ht="16.2">
      <c r="A4" s="21" t="s">
        <v>61</v>
      </c>
      <c r="B4" s="23" t="s">
        <v>62</v>
      </c>
      <c r="C4" s="24"/>
      <c r="D4" s="24"/>
      <c r="E4" s="24"/>
      <c r="F4" s="24"/>
      <c r="G4" s="23" t="s">
        <v>28</v>
      </c>
      <c r="H4" s="23" t="s">
        <v>73</v>
      </c>
      <c r="I4" s="23" t="s">
        <v>74</v>
      </c>
      <c r="J4" s="24"/>
      <c r="K4" s="24"/>
      <c r="L4" s="17" t="s">
        <v>66</v>
      </c>
    </row>
    <row r="5" spans="1:20" ht="14.4">
      <c r="A5" s="15"/>
      <c r="B5" s="182" t="s">
        <v>75</v>
      </c>
      <c r="C5" s="182"/>
      <c r="D5" s="183"/>
      <c r="E5" s="182"/>
      <c r="F5" s="182"/>
      <c r="G5" s="182"/>
      <c r="H5" s="182"/>
      <c r="I5" s="182"/>
      <c r="J5" s="182"/>
      <c r="K5" s="182"/>
      <c r="L5" s="182"/>
    </row>
    <row r="6" spans="1:20" ht="16.2">
      <c r="A6" s="15" t="s">
        <v>76</v>
      </c>
      <c r="B6" s="40">
        <v>2131.2330000000002</v>
      </c>
      <c r="C6" s="40">
        <v>26155.172999999999</v>
      </c>
      <c r="D6" s="110">
        <f>(137422.8*2204.622)/1000000</f>
        <v>302.9653281816</v>
      </c>
      <c r="E6" s="40">
        <f>SUM(B6:D6)</f>
        <v>28589.371328181598</v>
      </c>
      <c r="F6" s="40"/>
      <c r="G6" s="40">
        <f>E6-L6-J6</f>
        <v>24827.303827433996</v>
      </c>
      <c r="H6" s="40">
        <v>10378.75</v>
      </c>
      <c r="I6" s="28">
        <f>G6-H6</f>
        <v>14448.553827433996</v>
      </c>
      <c r="J6" s="28">
        <f>(803275.8*2204.622)/1000000</f>
        <v>1770.9195007476001</v>
      </c>
      <c r="K6" s="40">
        <f>G6+J6</f>
        <v>26598.223328181597</v>
      </c>
      <c r="L6" s="40">
        <v>1991.1479999999999</v>
      </c>
    </row>
    <row r="7" spans="1:20" ht="16.2">
      <c r="A7" s="15" t="s">
        <v>77</v>
      </c>
      <c r="B7" s="40">
        <f>L6</f>
        <v>1991.1479999999999</v>
      </c>
      <c r="C7" s="40">
        <f>C23</f>
        <v>26227.309000000001</v>
      </c>
      <c r="D7" s="40">
        <f>D23</f>
        <v>375.69933535679996</v>
      </c>
      <c r="E7" s="40">
        <f>E23</f>
        <v>28594.156335356802</v>
      </c>
      <c r="F7" s="40"/>
      <c r="G7" s="40">
        <f>K7-J7</f>
        <v>26609.010401643802</v>
      </c>
      <c r="H7" s="40">
        <f>H23</f>
        <v>12490.714000000002</v>
      </c>
      <c r="I7" s="28">
        <f>G7-H7</f>
        <v>14118.2964016438</v>
      </c>
      <c r="J7" s="40">
        <f>J23</f>
        <v>378.07393371299997</v>
      </c>
      <c r="K7" s="40">
        <f>E7-L7</f>
        <v>26987.084335356802</v>
      </c>
      <c r="L7" s="40">
        <f>L22</f>
        <v>1607.0719999999999</v>
      </c>
      <c r="M7" s="165"/>
      <c r="N7" s="165"/>
      <c r="O7" s="165"/>
      <c r="P7" s="165"/>
      <c r="Q7" s="165"/>
      <c r="R7" s="165"/>
      <c r="S7" s="165"/>
      <c r="T7" s="165"/>
    </row>
    <row r="8" spans="1:20" ht="16.2">
      <c r="A8" s="15" t="s">
        <v>36</v>
      </c>
      <c r="B8" s="40">
        <f>L7</f>
        <v>1607.0719999999999</v>
      </c>
      <c r="C8" s="40">
        <v>27025</v>
      </c>
      <c r="D8" s="40">
        <v>450</v>
      </c>
      <c r="E8" s="40">
        <f>SUM(B8:D8)</f>
        <v>29082.072</v>
      </c>
      <c r="F8" s="40"/>
      <c r="G8" s="40">
        <f>SUM(H8:I8)</f>
        <v>27200</v>
      </c>
      <c r="H8" s="40">
        <v>13000</v>
      </c>
      <c r="I8" s="28">
        <v>14200</v>
      </c>
      <c r="J8" s="40">
        <v>300</v>
      </c>
      <c r="K8" s="40">
        <f>G8+J8</f>
        <v>27500</v>
      </c>
      <c r="L8" s="40">
        <f>E8-K8</f>
        <v>1582.0720000000001</v>
      </c>
    </row>
    <row r="9" spans="1:20" ht="13.8">
      <c r="A9" s="15"/>
      <c r="B9" s="40"/>
      <c r="C9" s="40"/>
      <c r="D9" s="40"/>
      <c r="E9" s="40"/>
      <c r="F9" s="40"/>
      <c r="G9" s="40"/>
      <c r="H9" s="40"/>
      <c r="I9" s="81"/>
      <c r="J9" s="40"/>
      <c r="K9" s="40"/>
      <c r="L9" s="40"/>
    </row>
    <row r="10" spans="1:20" ht="13.8">
      <c r="A10" s="31" t="s">
        <v>37</v>
      </c>
      <c r="B10" s="5"/>
      <c r="C10" s="6"/>
      <c r="D10" s="6"/>
      <c r="E10" s="6"/>
      <c r="F10" s="5"/>
      <c r="G10" s="5"/>
      <c r="H10" s="6"/>
      <c r="I10" s="6"/>
      <c r="J10" s="6"/>
      <c r="K10" s="5"/>
      <c r="L10" s="5"/>
    </row>
    <row r="11" spans="1:20" ht="13.8">
      <c r="A11" s="15" t="s">
        <v>39</v>
      </c>
      <c r="B11" s="5">
        <f>L6</f>
        <v>1991.1479999999999</v>
      </c>
      <c r="C11" s="6">
        <v>2338.085</v>
      </c>
      <c r="D11" s="6">
        <f>(13491.4*2204.622)/1000000</f>
        <v>29.7434372508</v>
      </c>
      <c r="E11" s="6">
        <f t="shared" ref="E11:E18" si="0">SUM(B11:D11)</f>
        <v>4358.9764372507998</v>
      </c>
      <c r="F11" s="5"/>
      <c r="G11" s="5">
        <f>K11-J11</f>
        <v>2241.8177746275996</v>
      </c>
      <c r="H11" s="111">
        <v>906.40899999999999</v>
      </c>
      <c r="I11" s="6">
        <f t="shared" ref="I11:I17" si="1">G11-H11</f>
        <v>1335.4087746275995</v>
      </c>
      <c r="J11" s="6">
        <f>(10675.6*2204.622)/1000000</f>
        <v>23.5356626232</v>
      </c>
      <c r="K11" s="6">
        <f t="shared" ref="K11:K17" si="2">E11-L11</f>
        <v>2265.3534372507997</v>
      </c>
      <c r="L11" s="5">
        <v>2093.623</v>
      </c>
      <c r="N11" s="89"/>
    </row>
    <row r="12" spans="1:20" ht="13.8">
      <c r="A12" s="15" t="s">
        <v>40</v>
      </c>
      <c r="B12" s="5">
        <f t="shared" ref="B12:B18" si="3">L11</f>
        <v>2093.623</v>
      </c>
      <c r="C12" s="6">
        <v>2199.962</v>
      </c>
      <c r="D12" s="6">
        <f>(11744.6*2204.622)/1000000</f>
        <v>25.8924035412</v>
      </c>
      <c r="E12" s="6">
        <f t="shared" si="0"/>
        <v>4319.4774035412001</v>
      </c>
      <c r="F12" s="5"/>
      <c r="G12" s="5">
        <f t="shared" ref="G12:G18" si="4">K12-J12</f>
        <v>2183.7493667224003</v>
      </c>
      <c r="H12" s="111">
        <v>943.34199999999998</v>
      </c>
      <c r="I12" s="6">
        <f t="shared" si="1"/>
        <v>1240.4073667224002</v>
      </c>
      <c r="J12" s="6">
        <f>(10635.4*2204.622)/1000000</f>
        <v>23.447036818799997</v>
      </c>
      <c r="K12" s="6">
        <f t="shared" si="2"/>
        <v>2207.1964035412002</v>
      </c>
      <c r="L12" s="5">
        <v>2112.2809999999999</v>
      </c>
      <c r="N12" s="89"/>
    </row>
    <row r="13" spans="1:20" ht="13.8">
      <c r="A13" s="15" t="s">
        <v>42</v>
      </c>
      <c r="B13" s="5">
        <f t="shared" si="3"/>
        <v>2112.2809999999999</v>
      </c>
      <c r="C13" s="6">
        <v>2195.3580000000002</v>
      </c>
      <c r="D13" s="6">
        <f>(10252.4*2204.622)/1000000</f>
        <v>22.602666592799999</v>
      </c>
      <c r="E13" s="6">
        <f t="shared" si="0"/>
        <v>4330.2416665928004</v>
      </c>
      <c r="F13" s="5"/>
      <c r="G13" s="5">
        <f t="shared" si="4"/>
        <v>1989.2481907986005</v>
      </c>
      <c r="H13" s="111">
        <v>885.65899999999999</v>
      </c>
      <c r="I13" s="6">
        <f t="shared" si="1"/>
        <v>1103.5891907986006</v>
      </c>
      <c r="J13" s="6">
        <f>(15806.1*2204.622)/1000000</f>
        <v>34.846475794199996</v>
      </c>
      <c r="K13" s="6">
        <f t="shared" si="2"/>
        <v>2024.0946665928004</v>
      </c>
      <c r="L13" s="5">
        <v>2306.1469999999999</v>
      </c>
      <c r="N13" s="89"/>
    </row>
    <row r="14" spans="1:20" ht="13.8">
      <c r="A14" s="15" t="s">
        <v>43</v>
      </c>
      <c r="B14" s="5">
        <f t="shared" si="3"/>
        <v>2306.1469999999999</v>
      </c>
      <c r="C14" s="6">
        <v>2252.3119999999999</v>
      </c>
      <c r="D14" s="6">
        <f>(11450.2*2204.622)/1000000</f>
        <v>25.243362824400002</v>
      </c>
      <c r="E14" s="6">
        <f t="shared" si="0"/>
        <v>4583.7023628243996</v>
      </c>
      <c r="F14" s="5"/>
      <c r="G14" s="5">
        <f t="shared" si="4"/>
        <v>2211.8930392041998</v>
      </c>
      <c r="H14" s="111">
        <v>940.87400000000002</v>
      </c>
      <c r="I14" s="6">
        <f t="shared" si="1"/>
        <v>1271.0190392041998</v>
      </c>
      <c r="J14" s="6">
        <f>(6989.1*2204.622)/1000000</f>
        <v>15.408323620199999</v>
      </c>
      <c r="K14" s="6">
        <f t="shared" si="2"/>
        <v>2227.3013628243998</v>
      </c>
      <c r="L14" s="5">
        <v>2356.4009999999998</v>
      </c>
      <c r="N14" s="89"/>
    </row>
    <row r="15" spans="1:20" ht="13.8">
      <c r="A15" s="15" t="s">
        <v>44</v>
      </c>
      <c r="B15" s="5">
        <f t="shared" si="3"/>
        <v>2356.4009999999998</v>
      </c>
      <c r="C15" s="6">
        <v>2091.2179999999998</v>
      </c>
      <c r="D15" s="6">
        <f>(15213.2*2204.622)/1000000</f>
        <v>33.539355410399999</v>
      </c>
      <c r="E15" s="6">
        <f t="shared" si="0"/>
        <v>4481.1583554104</v>
      </c>
      <c r="F15" s="5"/>
      <c r="G15" s="5">
        <f t="shared" si="4"/>
        <v>2091.4034745958002</v>
      </c>
      <c r="H15" s="111">
        <v>909.98699999999997</v>
      </c>
      <c r="I15" s="6">
        <f t="shared" si="1"/>
        <v>1181.4164745958001</v>
      </c>
      <c r="J15" s="6">
        <f>(11774.3*2204.622)/1000000</f>
        <v>25.957880814599999</v>
      </c>
      <c r="K15" s="6">
        <f t="shared" si="2"/>
        <v>2117.3613554103999</v>
      </c>
      <c r="L15" s="5">
        <v>2363.797</v>
      </c>
      <c r="N15" s="89"/>
    </row>
    <row r="16" spans="1:20" ht="13.8">
      <c r="A16" s="15" t="s">
        <v>46</v>
      </c>
      <c r="B16" s="5">
        <f t="shared" si="3"/>
        <v>2363.797</v>
      </c>
      <c r="C16" s="6">
        <v>2339.5810000000001</v>
      </c>
      <c r="D16" s="6">
        <f>(15180.8*2204.622)/1000000</f>
        <v>33.467925657599999</v>
      </c>
      <c r="E16" s="6">
        <f t="shared" si="0"/>
        <v>4736.8459256576007</v>
      </c>
      <c r="F16" s="5"/>
      <c r="G16" s="5">
        <f t="shared" si="4"/>
        <v>2336.5298038548008</v>
      </c>
      <c r="H16" s="111">
        <v>952.70299999999997</v>
      </c>
      <c r="I16" s="6">
        <f t="shared" si="1"/>
        <v>1383.8268038548008</v>
      </c>
      <c r="J16" s="6">
        <f>(5807.4*2204.622)/1000000</f>
        <v>12.803121802799998</v>
      </c>
      <c r="K16" s="6">
        <f t="shared" si="2"/>
        <v>2349.3329256576008</v>
      </c>
      <c r="L16" s="5">
        <v>2387.5129999999999</v>
      </c>
      <c r="N16" s="89"/>
    </row>
    <row r="17" spans="1:14" ht="13.8">
      <c r="A17" s="15" t="s">
        <v>47</v>
      </c>
      <c r="B17" s="5">
        <f t="shared" si="3"/>
        <v>2387.5129999999999</v>
      </c>
      <c r="C17" s="6">
        <v>2236.3009999999999</v>
      </c>
      <c r="D17" s="6">
        <f>(15750.7*2204.622)/1000000</f>
        <v>34.724339735400001</v>
      </c>
      <c r="E17" s="6">
        <f t="shared" si="0"/>
        <v>4658.5383397353999</v>
      </c>
      <c r="F17" s="5"/>
      <c r="G17" s="5">
        <f t="shared" si="4"/>
        <v>2058.2364235171999</v>
      </c>
      <c r="H17" s="111">
        <v>926.59799999999996</v>
      </c>
      <c r="I17" s="6">
        <f t="shared" si="1"/>
        <v>1131.6384235172</v>
      </c>
      <c r="J17" s="6">
        <f>(27498.1*2204.622)/1000000</f>
        <v>60.62291621819999</v>
      </c>
      <c r="K17" s="6">
        <f t="shared" si="2"/>
        <v>2118.8593397353998</v>
      </c>
      <c r="L17" s="5">
        <v>2539.6790000000001</v>
      </c>
      <c r="N17" s="89"/>
    </row>
    <row r="18" spans="1:14" ht="13.8">
      <c r="A18" s="15" t="s">
        <v>48</v>
      </c>
      <c r="B18" s="5">
        <f t="shared" si="3"/>
        <v>2539.6790000000001</v>
      </c>
      <c r="C18" s="6">
        <v>2228.3719999999998</v>
      </c>
      <c r="D18" s="6">
        <f>(24574.7*2204.622)/1000000</f>
        <v>54.177924263399994</v>
      </c>
      <c r="E18" s="6">
        <f t="shared" si="0"/>
        <v>4822.2289242633997</v>
      </c>
      <c r="F18" s="5"/>
      <c r="G18" s="5">
        <f t="shared" si="4"/>
        <v>2385.7924694315993</v>
      </c>
      <c r="H18" s="111">
        <v>1140.8710000000001</v>
      </c>
      <c r="I18" s="6">
        <f t="shared" ref="I18:I23" si="5">G18-H18</f>
        <v>1244.9214694315992</v>
      </c>
      <c r="J18" s="6">
        <f>(22776.9*2204.622)/1000000</f>
        <v>50.214454831799998</v>
      </c>
      <c r="K18" s="6">
        <f>E18-L18</f>
        <v>2436.0069242633995</v>
      </c>
      <c r="L18" s="5">
        <v>2386.2220000000002</v>
      </c>
      <c r="N18" s="89"/>
    </row>
    <row r="19" spans="1:14" ht="13.8">
      <c r="A19" s="15" t="s">
        <v>50</v>
      </c>
      <c r="B19" s="5">
        <f>L18</f>
        <v>2386.2220000000002</v>
      </c>
      <c r="C19" s="6">
        <v>2074.857</v>
      </c>
      <c r="D19" s="6">
        <f>(7900.8*2204.622)/1000000</f>
        <v>17.418277497600002</v>
      </c>
      <c r="E19" s="6">
        <f>SUM(B19:D19)</f>
        <v>4478.4972774975995</v>
      </c>
      <c r="F19" s="5"/>
      <c r="G19" s="5">
        <f>K19-J19</f>
        <v>2235.5639103903995</v>
      </c>
      <c r="H19" s="111">
        <v>1206.92</v>
      </c>
      <c r="I19" s="6">
        <f t="shared" si="5"/>
        <v>1028.6439103903995</v>
      </c>
      <c r="J19" s="6">
        <f>(18097.6*2204.622)/1000000</f>
        <v>39.898367107199995</v>
      </c>
      <c r="K19" s="6">
        <f>E19-L19</f>
        <v>2275.4622774975996</v>
      </c>
      <c r="L19" s="5">
        <v>2203.0349999999999</v>
      </c>
    </row>
    <row r="20" spans="1:14" ht="13.8">
      <c r="A20" s="15" t="s">
        <v>51</v>
      </c>
      <c r="B20" s="5">
        <f>L19</f>
        <v>2203.0349999999999</v>
      </c>
      <c r="C20" s="6">
        <v>2180.0360000000001</v>
      </c>
      <c r="D20" s="6">
        <f>(12459.1*2204.622)/1000000</f>
        <v>27.4676059602</v>
      </c>
      <c r="E20" s="6">
        <f>SUM(B20:D20)</f>
        <v>4410.5386059601997</v>
      </c>
      <c r="F20" s="5"/>
      <c r="G20" s="5">
        <f>K20-J20</f>
        <v>2237.1172955073994</v>
      </c>
      <c r="H20" s="111">
        <v>1272.7660000000001</v>
      </c>
      <c r="I20" s="103">
        <f t="shared" si="5"/>
        <v>964.3512955073993</v>
      </c>
      <c r="J20" s="6">
        <f>(16882.4*2204.622)/1000000</f>
        <v>37.219310452799995</v>
      </c>
      <c r="K20" s="6">
        <f>E20-L20</f>
        <v>2274.3366059601994</v>
      </c>
      <c r="L20" s="5">
        <v>2136.2020000000002</v>
      </c>
    </row>
    <row r="21" spans="1:14" ht="13.8">
      <c r="A21" s="15" t="s">
        <v>52</v>
      </c>
      <c r="B21" s="5">
        <f>L20</f>
        <v>2136.2020000000002</v>
      </c>
      <c r="C21" s="105">
        <v>2014.153</v>
      </c>
      <c r="D21" s="6">
        <f>(21101.4*2204.622)/1000000</f>
        <v>46.520610670800004</v>
      </c>
      <c r="E21" s="6">
        <f>SUM(B21:D21)</f>
        <v>4196.8756106708006</v>
      </c>
      <c r="F21" s="5"/>
      <c r="G21" s="5">
        <f>K21-J21</f>
        <v>2398.3625488780008</v>
      </c>
      <c r="H21" s="111">
        <v>1197.1020000000001</v>
      </c>
      <c r="I21" s="107">
        <f t="shared" si="5"/>
        <v>1201.2605488780007</v>
      </c>
      <c r="J21" s="6">
        <f>(11852.4*2204.622)/1000000</f>
        <v>26.130061792799999</v>
      </c>
      <c r="K21" s="6">
        <f>E21-L21</f>
        <v>2424.4926106708008</v>
      </c>
      <c r="L21" s="5">
        <v>1772.383</v>
      </c>
    </row>
    <row r="22" spans="1:14" ht="13.8">
      <c r="A22" s="15" t="s">
        <v>38</v>
      </c>
      <c r="B22" s="5">
        <f>L21</f>
        <v>1772.383</v>
      </c>
      <c r="C22" s="105">
        <v>2077.0740000000001</v>
      </c>
      <c r="D22" s="6">
        <f>(11295.1*2204.622)/1000000</f>
        <v>24.9014259522</v>
      </c>
      <c r="E22" s="6">
        <f>SUM(B22:D22)</f>
        <v>3874.3584259522004</v>
      </c>
      <c r="F22" s="5"/>
      <c r="G22" s="5">
        <f>K22-J22</f>
        <v>2239.2963245780002</v>
      </c>
      <c r="H22" s="111">
        <v>1207.4829999999999</v>
      </c>
      <c r="I22" s="107">
        <f t="shared" si="5"/>
        <v>1031.8133245780002</v>
      </c>
      <c r="J22" s="6">
        <f>(12696.1*2204.622)/1000000</f>
        <v>27.990101374199998</v>
      </c>
      <c r="K22" s="6">
        <f>E22-L22</f>
        <v>2267.2864259522003</v>
      </c>
      <c r="L22" s="5">
        <v>1607.0719999999999</v>
      </c>
    </row>
    <row r="23" spans="1:14" ht="13.8">
      <c r="A23" s="15" t="s">
        <v>28</v>
      </c>
      <c r="B23" s="5"/>
      <c r="C23" s="105">
        <f>SUM(C11:C22)</f>
        <v>26227.309000000001</v>
      </c>
      <c r="D23" s="6">
        <f>(170414.4*2204.622)/1000000</f>
        <v>375.69933535679996</v>
      </c>
      <c r="E23" s="6">
        <f>B11+C23+D23</f>
        <v>28594.156335356802</v>
      </c>
      <c r="F23" s="5"/>
      <c r="G23" s="5">
        <f>SUM(G11:G22)</f>
        <v>26609.010622106001</v>
      </c>
      <c r="H23" s="111">
        <f>SUM(H11:H22)</f>
        <v>12490.714000000002</v>
      </c>
      <c r="I23" s="107">
        <f t="shared" si="5"/>
        <v>14118.296622106</v>
      </c>
      <c r="J23" s="6">
        <f>(171491.5*2204.622)/1000000</f>
        <v>378.07393371299997</v>
      </c>
      <c r="K23" s="6">
        <f>SUM(K11:K22)</f>
        <v>26987.084335356802</v>
      </c>
      <c r="L23" s="5"/>
    </row>
    <row r="24" spans="1:14" ht="13.8">
      <c r="A24" s="15"/>
      <c r="B24" s="5"/>
      <c r="C24" s="6"/>
      <c r="D24" s="6"/>
      <c r="E24" s="6"/>
      <c r="F24" s="5"/>
      <c r="G24" s="5"/>
      <c r="H24" s="6"/>
      <c r="I24" s="6"/>
      <c r="J24" s="6"/>
      <c r="K24" s="5"/>
      <c r="L24" s="5"/>
    </row>
    <row r="25" spans="1:14" ht="13.8">
      <c r="A25" s="31" t="s">
        <v>54</v>
      </c>
      <c r="B25" s="5"/>
      <c r="C25" s="6"/>
      <c r="D25" s="6"/>
      <c r="E25" s="6"/>
      <c r="F25" s="5"/>
      <c r="G25" s="5"/>
      <c r="H25" s="6"/>
      <c r="I25" s="6"/>
      <c r="J25" s="6"/>
      <c r="K25" s="5"/>
      <c r="L25" s="5"/>
    </row>
    <row r="26" spans="1:14" ht="13.8">
      <c r="A26" s="15" t="s">
        <v>39</v>
      </c>
      <c r="B26" s="5">
        <f>L22</f>
        <v>1607.0719999999999</v>
      </c>
      <c r="C26" s="6">
        <v>2375.654</v>
      </c>
      <c r="D26" s="6">
        <f>(20587.1*2204.622)/1000000</f>
        <v>45.386773576199992</v>
      </c>
      <c r="E26" s="6">
        <f t="shared" ref="E26:E27" si="6">SUM(B26:D26)</f>
        <v>4028.1127735761997</v>
      </c>
      <c r="F26" s="5"/>
      <c r="G26" s="5">
        <f>K26-J26</f>
        <v>2513.5235816765999</v>
      </c>
      <c r="H26" s="131">
        <v>1061.944</v>
      </c>
      <c r="I26" s="107">
        <f t="shared" ref="I26" si="7">G26-H26</f>
        <v>1451.5795816765999</v>
      </c>
      <c r="J26" s="6">
        <f>(5891.8*2204.622)/1000000</f>
        <v>12.9891918996</v>
      </c>
      <c r="K26" s="6">
        <f>E26-L26</f>
        <v>2526.5127735761998</v>
      </c>
      <c r="L26" s="6">
        <v>1501.6</v>
      </c>
      <c r="N26" s="35"/>
    </row>
    <row r="27" spans="1:14" ht="13.8">
      <c r="A27" s="15" t="s">
        <v>40</v>
      </c>
      <c r="B27" s="5">
        <f>L26</f>
        <v>1501.6</v>
      </c>
      <c r="C27" s="6">
        <v>2324.6680000000001</v>
      </c>
      <c r="D27" s="6">
        <f>(16757.1*2204.622)/1000000</f>
        <v>36.943071316199998</v>
      </c>
      <c r="E27" s="6">
        <f t="shared" si="6"/>
        <v>3863.2110713162001</v>
      </c>
      <c r="F27" s="6"/>
      <c r="G27" s="6">
        <f>K27-J27</f>
        <v>2250.308405579</v>
      </c>
      <c r="H27" s="143">
        <v>1062.1690000000001</v>
      </c>
      <c r="I27" s="107">
        <f>G27-H27</f>
        <v>1188.1394055789999</v>
      </c>
      <c r="J27" s="6">
        <f>(6262.6*2204.622)/1000000</f>
        <v>13.806665737199999</v>
      </c>
      <c r="K27" s="6">
        <f>E27-L27</f>
        <v>2264.1150713162001</v>
      </c>
      <c r="L27" s="6">
        <v>1599.096</v>
      </c>
      <c r="N27" s="35"/>
    </row>
    <row r="28" spans="1:14" ht="13.8">
      <c r="A28" s="15" t="s">
        <v>42</v>
      </c>
      <c r="B28" s="5">
        <f>L27</f>
        <v>1599.096</v>
      </c>
      <c r="C28" s="6">
        <v>2376.2370000000001</v>
      </c>
      <c r="D28" s="6">
        <f>(21904*2204.622)/1000000</f>
        <v>48.290040287999993</v>
      </c>
      <c r="E28" s="6">
        <f>SUM(B28:D28)</f>
        <v>4023.6230402880001</v>
      </c>
      <c r="F28" s="6"/>
      <c r="G28" s="107">
        <f>K28-J28</f>
        <v>2187.1307621506003</v>
      </c>
      <c r="H28" s="143">
        <v>1141.32</v>
      </c>
      <c r="I28" s="107">
        <f>G28-H28</f>
        <v>1045.8107621506003</v>
      </c>
      <c r="J28" s="6">
        <f>(5741.7*2204.622)/1000000</f>
        <v>12.6582781374</v>
      </c>
      <c r="K28" s="6">
        <f>E28-L28</f>
        <v>2199.7890402880003</v>
      </c>
      <c r="L28" s="6">
        <v>1823.8340000000001</v>
      </c>
      <c r="N28" s="35"/>
    </row>
    <row r="29" spans="1:14" ht="13.8">
      <c r="A29" s="15" t="s">
        <v>43</v>
      </c>
      <c r="B29" s="5">
        <f>L28</f>
        <v>1823.8340000000001</v>
      </c>
      <c r="C29" s="6">
        <v>2288.5720000000001</v>
      </c>
      <c r="D29" s="6">
        <f>(22995*2204.622)/1000000</f>
        <v>50.695282889999994</v>
      </c>
      <c r="E29" s="6">
        <f>SUM(B29:D29)</f>
        <v>4163.1012828900002</v>
      </c>
      <c r="F29" s="6"/>
      <c r="G29" s="107">
        <f>K29-J29</f>
        <v>2122.8299197475999</v>
      </c>
      <c r="H29" s="6" t="s">
        <v>78</v>
      </c>
      <c r="I29" s="6" t="s">
        <v>78</v>
      </c>
      <c r="J29" s="6">
        <f>(5219.2*2204.622)/1000000</f>
        <v>11.506363142399998</v>
      </c>
      <c r="K29" s="6">
        <f>E29-L29</f>
        <v>2134.3362828899999</v>
      </c>
      <c r="L29" s="6">
        <v>2028.7650000000001</v>
      </c>
      <c r="N29" s="35"/>
    </row>
    <row r="30" spans="1:14" ht="16.2">
      <c r="A30" s="82" t="s">
        <v>79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</row>
    <row r="31" spans="1:14" ht="14.4">
      <c r="A31" s="15" t="s">
        <v>69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4" ht="13.8">
      <c r="A32" s="20" t="s">
        <v>57</v>
      </c>
      <c r="B32" s="37">
        <f>Contents!A16</f>
        <v>45363</v>
      </c>
      <c r="K32" s="35"/>
    </row>
    <row r="33" spans="5:8">
      <c r="E33" s="35"/>
    </row>
    <row r="34" spans="5:8">
      <c r="H34" s="94"/>
    </row>
  </sheetData>
  <mergeCells count="3">
    <mergeCell ref="B5:L5"/>
    <mergeCell ref="G2:I2"/>
    <mergeCell ref="B2:E2"/>
  </mergeCells>
  <phoneticPr fontId="40" type="noConversion"/>
  <pageMargins left="0.75" right="0.75" top="1" bottom="1" header="0.5" footer="0.5"/>
  <pageSetup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Q54"/>
  <sheetViews>
    <sheetView showGridLines="0" topLeftCell="A33" zoomScaleNormal="100" workbookViewId="0"/>
  </sheetViews>
  <sheetFormatPr defaultColWidth="9.109375" defaultRowHeight="13.2"/>
  <cols>
    <col min="1" max="1" width="15.33203125" customWidth="1"/>
    <col min="2" max="2" width="13.109375" customWidth="1"/>
    <col min="3" max="3" width="12.109375" customWidth="1"/>
    <col min="4" max="4" width="16.5546875" customWidth="1"/>
    <col min="5" max="5" width="15.33203125" customWidth="1"/>
    <col min="6" max="6" width="11.44140625" customWidth="1"/>
    <col min="7" max="7" width="11.6640625" customWidth="1"/>
    <col min="8" max="8" width="14" customWidth="1"/>
    <col min="9" max="9" width="9.6640625" customWidth="1"/>
    <col min="10" max="11" width="7.6640625" customWidth="1"/>
    <col min="12" max="12" width="8.5546875" customWidth="1"/>
    <col min="13" max="13" width="9.5546875" customWidth="1"/>
    <col min="14" max="14" width="9.6640625" bestFit="1" customWidth="1"/>
    <col min="15" max="15" width="8.33203125" bestFit="1" customWidth="1"/>
    <col min="19" max="19" width="17.44140625" bestFit="1" customWidth="1"/>
    <col min="21" max="21" width="28.33203125" bestFit="1" customWidth="1"/>
  </cols>
  <sheetData>
    <row r="1" spans="1:15" ht="13.8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  <c r="N1" s="15"/>
      <c r="O1" s="15"/>
    </row>
    <row r="2" spans="1:15" ht="13.8">
      <c r="A2" s="15"/>
      <c r="B2" s="180" t="s">
        <v>58</v>
      </c>
      <c r="C2" s="180"/>
      <c r="D2" s="180"/>
      <c r="E2" s="180"/>
      <c r="F2" s="72"/>
      <c r="G2" s="180" t="s">
        <v>59</v>
      </c>
      <c r="H2" s="180"/>
      <c r="I2" s="180"/>
      <c r="J2" s="180"/>
      <c r="K2" s="72"/>
      <c r="L2" s="15"/>
      <c r="M2" s="15"/>
      <c r="N2" s="15"/>
      <c r="O2" s="15"/>
    </row>
    <row r="3" spans="1:15" ht="13.8">
      <c r="A3" s="15" t="s">
        <v>17</v>
      </c>
      <c r="B3" s="20" t="s">
        <v>70</v>
      </c>
      <c r="C3" s="20"/>
      <c r="D3" s="20"/>
      <c r="E3" s="20"/>
      <c r="F3" s="20"/>
      <c r="G3" s="20"/>
      <c r="H3" s="20"/>
      <c r="I3" s="20"/>
      <c r="J3" s="20"/>
      <c r="K3" s="17" t="s">
        <v>60</v>
      </c>
      <c r="L3" s="15"/>
      <c r="M3" s="15"/>
      <c r="N3" s="15"/>
      <c r="O3" s="15"/>
    </row>
    <row r="4" spans="1:15" ht="13.8">
      <c r="A4" s="21" t="s">
        <v>80</v>
      </c>
      <c r="B4" s="23" t="s">
        <v>81</v>
      </c>
      <c r="C4" s="58" t="s">
        <v>26</v>
      </c>
      <c r="D4" s="25" t="s">
        <v>71</v>
      </c>
      <c r="E4" s="23" t="s">
        <v>82</v>
      </c>
      <c r="F4" s="24"/>
      <c r="G4" s="23" t="s">
        <v>83</v>
      </c>
      <c r="H4" s="23" t="s">
        <v>30</v>
      </c>
      <c r="I4" s="23" t="s">
        <v>84</v>
      </c>
      <c r="J4" s="23" t="s">
        <v>85</v>
      </c>
      <c r="K4" s="23" t="s">
        <v>62</v>
      </c>
      <c r="L4" s="15"/>
      <c r="M4" s="15"/>
      <c r="N4" s="15"/>
      <c r="O4" s="15"/>
    </row>
    <row r="5" spans="1:15" ht="14.4">
      <c r="A5" s="15"/>
      <c r="B5" s="184" t="s">
        <v>86</v>
      </c>
      <c r="C5" s="184"/>
      <c r="D5" s="184"/>
      <c r="E5" s="184"/>
      <c r="F5" s="184"/>
      <c r="G5" s="184"/>
      <c r="H5" s="184"/>
      <c r="I5" s="184"/>
      <c r="J5" s="184"/>
      <c r="K5" s="184"/>
      <c r="L5" s="15"/>
      <c r="M5" s="15"/>
      <c r="N5" s="15"/>
      <c r="O5" s="15"/>
    </row>
    <row r="6" spans="1:15" ht="13.8">
      <c r="A6" s="15" t="s">
        <v>34</v>
      </c>
      <c r="B6" s="74">
        <v>395.43068871102241</v>
      </c>
      <c r="C6" s="74">
        <v>5323</v>
      </c>
      <c r="D6" s="121">
        <v>24.765738432900992</v>
      </c>
      <c r="E6" s="74">
        <f>B6+C6+D6</f>
        <v>5743.1964271439238</v>
      </c>
      <c r="F6" s="75"/>
      <c r="G6" s="74">
        <v>1556.9839999999999</v>
      </c>
      <c r="H6" s="122">
        <v>292.99103926406997</v>
      </c>
      <c r="I6" s="74">
        <f>J6-G6-H6</f>
        <v>3497.8003878798536</v>
      </c>
      <c r="J6" s="74">
        <f>E6-K6</f>
        <v>5347.7754271439235</v>
      </c>
      <c r="K6" s="74">
        <v>395.42099999999999</v>
      </c>
      <c r="L6" s="123"/>
      <c r="M6" s="15"/>
      <c r="N6" s="123"/>
      <c r="O6" s="15"/>
    </row>
    <row r="7" spans="1:15" ht="16.2">
      <c r="A7" s="15" t="s">
        <v>35</v>
      </c>
      <c r="B7" s="74">
        <f>K6</f>
        <v>395.42099999999999</v>
      </c>
      <c r="C7" s="74">
        <v>4415</v>
      </c>
      <c r="D7" s="121">
        <v>101.14</v>
      </c>
      <c r="E7" s="74">
        <f>B7+C7+D7</f>
        <v>4911.5610000000006</v>
      </c>
      <c r="F7" s="75"/>
      <c r="G7" s="74">
        <v>1389.82</v>
      </c>
      <c r="H7" s="122">
        <v>185.60618629762095</v>
      </c>
      <c r="I7" s="74">
        <f>J7-G7-H7</f>
        <v>2950.9998137023799</v>
      </c>
      <c r="J7" s="74">
        <f>E7-K7</f>
        <v>4526.4260000000004</v>
      </c>
      <c r="K7" s="124">
        <v>385.13499999999999</v>
      </c>
      <c r="L7" s="123"/>
      <c r="M7" s="15"/>
      <c r="N7" s="123"/>
      <c r="O7" s="15"/>
    </row>
    <row r="8" spans="1:15" ht="16.2">
      <c r="A8" s="14" t="s">
        <v>36</v>
      </c>
      <c r="B8" s="168">
        <f>K7</f>
        <v>385.13499999999999</v>
      </c>
      <c r="C8" s="168">
        <v>3788</v>
      </c>
      <c r="D8" s="169">
        <v>50</v>
      </c>
      <c r="E8" s="168">
        <f>B8+C8+D8</f>
        <v>4223.1350000000002</v>
      </c>
      <c r="F8" s="170"/>
      <c r="G8" s="168">
        <v>1400</v>
      </c>
      <c r="H8" s="171">
        <v>400</v>
      </c>
      <c r="I8" s="168">
        <v>2080</v>
      </c>
      <c r="J8" s="168">
        <f>SUM(G8:I8)</f>
        <v>3880</v>
      </c>
      <c r="K8" s="168">
        <f>E8-J8</f>
        <v>343.13500000000022</v>
      </c>
      <c r="L8" s="15"/>
      <c r="M8" s="15"/>
      <c r="N8" s="15"/>
      <c r="O8" s="15"/>
    </row>
    <row r="9" spans="1:15" ht="16.2">
      <c r="A9" s="42" t="s">
        <v>87</v>
      </c>
      <c r="B9" s="15"/>
      <c r="C9" s="73"/>
      <c r="D9" s="73"/>
      <c r="E9" s="73"/>
      <c r="F9" s="73"/>
      <c r="G9" s="76"/>
      <c r="H9" s="73"/>
      <c r="I9" s="73"/>
      <c r="J9" s="73"/>
      <c r="K9" s="15"/>
      <c r="L9" s="15"/>
      <c r="M9" s="15"/>
      <c r="N9" s="15"/>
      <c r="O9" s="15"/>
    </row>
    <row r="10" spans="1:15" ht="14.4">
      <c r="A10" s="15" t="s">
        <v>88</v>
      </c>
      <c r="B10" s="29"/>
      <c r="C10" s="34"/>
      <c r="D10" s="15"/>
      <c r="E10" s="29"/>
      <c r="F10" s="29"/>
      <c r="G10" s="29"/>
      <c r="H10" s="29"/>
      <c r="I10" s="29"/>
      <c r="J10" s="29"/>
      <c r="K10" s="15"/>
      <c r="L10" s="15"/>
      <c r="M10" s="15"/>
      <c r="N10" s="15"/>
      <c r="O10" s="15"/>
    </row>
    <row r="11" spans="1:15" ht="14.4">
      <c r="A11" s="15" t="s">
        <v>89</v>
      </c>
      <c r="B11" s="29"/>
      <c r="C11" s="34"/>
      <c r="D11" s="15"/>
      <c r="E11" s="29"/>
      <c r="F11" s="29"/>
      <c r="G11" s="29"/>
      <c r="H11" s="29"/>
      <c r="I11" s="29"/>
      <c r="J11" s="29"/>
      <c r="K11" s="15"/>
      <c r="L11" s="15"/>
      <c r="M11" s="15"/>
      <c r="N11" s="15"/>
      <c r="O11" s="15"/>
    </row>
    <row r="12" spans="1:15" ht="13.8">
      <c r="A12" s="15"/>
      <c r="B12" s="29"/>
      <c r="C12" s="34"/>
      <c r="D12" s="15"/>
      <c r="E12" s="29"/>
      <c r="F12" s="29"/>
      <c r="G12" s="29"/>
      <c r="H12" s="29"/>
      <c r="I12" s="29"/>
      <c r="J12" s="29"/>
      <c r="K12" s="15"/>
      <c r="L12" s="15"/>
      <c r="M12" s="15"/>
      <c r="N12" s="15"/>
      <c r="O12" s="15"/>
    </row>
    <row r="13" spans="1:15" ht="13.8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3.8">
      <c r="A14" s="14" t="s">
        <v>5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  <c r="L14" s="15"/>
      <c r="M14" s="15"/>
      <c r="N14" s="15"/>
      <c r="O14" s="15"/>
    </row>
    <row r="15" spans="1:15" ht="13.8">
      <c r="A15" s="15"/>
      <c r="B15" s="180" t="s">
        <v>58</v>
      </c>
      <c r="C15" s="180"/>
      <c r="D15" s="180"/>
      <c r="E15" s="180"/>
      <c r="F15" s="15"/>
      <c r="G15" s="180" t="s">
        <v>59</v>
      </c>
      <c r="H15" s="180"/>
      <c r="I15" s="180"/>
      <c r="J15" s="15"/>
      <c r="K15" s="15"/>
      <c r="L15" s="15"/>
      <c r="M15" s="15"/>
      <c r="N15" s="15"/>
      <c r="O15" s="15"/>
    </row>
    <row r="16" spans="1:15" ht="13.8">
      <c r="A16" s="15" t="s">
        <v>17</v>
      </c>
      <c r="B16" s="17" t="s">
        <v>70</v>
      </c>
      <c r="C16" s="20"/>
      <c r="D16" s="20"/>
      <c r="E16" s="20"/>
      <c r="F16" s="20"/>
      <c r="G16" s="20"/>
      <c r="H16" s="20"/>
      <c r="I16" s="20"/>
      <c r="J16" s="17" t="s">
        <v>60</v>
      </c>
      <c r="K16" s="15"/>
      <c r="L16" s="15"/>
      <c r="M16" s="15"/>
      <c r="N16" s="15"/>
      <c r="O16" s="15"/>
    </row>
    <row r="17" spans="1:15" ht="13.8">
      <c r="A17" s="21" t="s">
        <v>61</v>
      </c>
      <c r="B17" s="23" t="s">
        <v>62</v>
      </c>
      <c r="C17" s="58" t="s">
        <v>26</v>
      </c>
      <c r="D17" s="25" t="s">
        <v>71</v>
      </c>
      <c r="E17" s="23" t="s">
        <v>85</v>
      </c>
      <c r="F17" s="24"/>
      <c r="G17" s="74" t="s">
        <v>90</v>
      </c>
      <c r="H17" s="23" t="s">
        <v>30</v>
      </c>
      <c r="I17" s="25" t="s">
        <v>63</v>
      </c>
      <c r="J17" s="23" t="s">
        <v>62</v>
      </c>
      <c r="K17" s="15"/>
      <c r="L17" s="15"/>
      <c r="M17" s="15"/>
      <c r="N17" s="15"/>
      <c r="O17" s="15"/>
    </row>
    <row r="18" spans="1:15" ht="14.4">
      <c r="A18" s="15"/>
      <c r="B18" s="184" t="s">
        <v>91</v>
      </c>
      <c r="C18" s="184"/>
      <c r="D18" s="184"/>
      <c r="E18" s="184"/>
      <c r="F18" s="184"/>
      <c r="G18" s="184"/>
      <c r="H18" s="184"/>
      <c r="I18" s="184"/>
      <c r="J18" s="184"/>
      <c r="K18" s="15"/>
      <c r="L18" s="15"/>
      <c r="M18" s="15"/>
      <c r="N18" s="15"/>
      <c r="O18" s="15"/>
    </row>
    <row r="19" spans="1:15" ht="13.8">
      <c r="A19" s="15" t="s">
        <v>34</v>
      </c>
      <c r="B19" s="74">
        <v>39.305999999999997</v>
      </c>
      <c r="C19" s="122">
        <v>695</v>
      </c>
      <c r="D19" s="125">
        <v>0.10141264051999997</v>
      </c>
      <c r="E19" s="122">
        <f>B19+C19+D19</f>
        <v>734.40741264052008</v>
      </c>
      <c r="F19" s="75"/>
      <c r="G19" s="122">
        <f>E19-J19-H19</f>
        <v>655.27531148258311</v>
      </c>
      <c r="H19" s="122">
        <v>56.816101157936991</v>
      </c>
      <c r="I19" s="122">
        <f>SUM(G19:H19)</f>
        <v>712.09141264052005</v>
      </c>
      <c r="J19" s="74">
        <v>22.315999999999999</v>
      </c>
      <c r="K19" s="15"/>
      <c r="L19" s="15"/>
      <c r="M19" s="15"/>
      <c r="N19" s="15"/>
      <c r="O19" s="15"/>
    </row>
    <row r="20" spans="1:15" ht="16.2">
      <c r="A20" s="15" t="s">
        <v>35</v>
      </c>
      <c r="B20" s="74">
        <f>J19</f>
        <v>22.315999999999999</v>
      </c>
      <c r="C20" s="122">
        <v>589.51700000000005</v>
      </c>
      <c r="D20" s="121">
        <v>0</v>
      </c>
      <c r="E20" s="122">
        <f>B20+C20+D20</f>
        <v>611.83300000000008</v>
      </c>
      <c r="F20" s="75"/>
      <c r="G20" s="122">
        <f>E20-J20-H20</f>
        <v>526.23836987119705</v>
      </c>
      <c r="H20" s="122">
        <v>53.033630128802983</v>
      </c>
      <c r="I20" s="122">
        <f>SUM(G20:H20)</f>
        <v>579.27200000000005</v>
      </c>
      <c r="J20" s="74">
        <v>32.561</v>
      </c>
      <c r="K20" s="15"/>
      <c r="L20" s="15"/>
      <c r="M20" s="15"/>
      <c r="N20" s="15"/>
      <c r="O20" s="15"/>
    </row>
    <row r="21" spans="1:15" ht="16.2">
      <c r="A21" s="14" t="s">
        <v>36</v>
      </c>
      <c r="B21" s="168">
        <f>J20</f>
        <v>32.561</v>
      </c>
      <c r="C21" s="171">
        <v>600</v>
      </c>
      <c r="D21" s="169">
        <v>0</v>
      </c>
      <c r="E21" s="171">
        <f>B21+C21+D21</f>
        <v>632.56100000000004</v>
      </c>
      <c r="F21" s="170"/>
      <c r="G21" s="171">
        <v>538</v>
      </c>
      <c r="H21" s="171">
        <v>60</v>
      </c>
      <c r="I21" s="171">
        <f>SUM(G21:H21)</f>
        <v>598</v>
      </c>
      <c r="J21" s="168">
        <f>E21-I21</f>
        <v>34.561000000000035</v>
      </c>
      <c r="K21" s="15"/>
      <c r="L21" s="15"/>
      <c r="M21" s="15"/>
      <c r="N21" s="15"/>
      <c r="O21" s="15"/>
    </row>
    <row r="22" spans="1:15" ht="16.2">
      <c r="A22" s="42" t="s">
        <v>87</v>
      </c>
      <c r="B22" s="15"/>
      <c r="C22" s="73"/>
      <c r="D22" s="73"/>
      <c r="E22" s="73"/>
      <c r="F22" s="73"/>
      <c r="G22" s="73"/>
      <c r="H22" s="73"/>
      <c r="I22" s="15"/>
      <c r="J22" s="15"/>
      <c r="K22" s="15"/>
      <c r="L22" s="15"/>
      <c r="M22" s="15"/>
      <c r="N22" s="15"/>
      <c r="O22" s="15"/>
    </row>
    <row r="23" spans="1:15" ht="14.4">
      <c r="A23" s="15" t="s">
        <v>92</v>
      </c>
      <c r="B23" s="75"/>
      <c r="C23" s="75"/>
      <c r="D23" s="75"/>
      <c r="E23" s="75"/>
      <c r="F23" s="75"/>
      <c r="G23" s="75"/>
      <c r="H23" s="75"/>
      <c r="I23" s="15"/>
      <c r="J23" s="15"/>
      <c r="K23" s="15"/>
      <c r="L23" s="15"/>
      <c r="M23" s="15"/>
      <c r="N23" s="15"/>
      <c r="O23" s="15"/>
    </row>
    <row r="24" spans="1:15" ht="13.8">
      <c r="A24" s="15"/>
      <c r="B24" s="29"/>
      <c r="C24" s="29"/>
      <c r="D24" s="29"/>
      <c r="E24" s="29"/>
      <c r="F24" s="29"/>
      <c r="G24" s="29"/>
      <c r="H24" s="29"/>
      <c r="I24" s="15"/>
      <c r="J24" s="15"/>
      <c r="K24" s="15"/>
      <c r="L24" s="15"/>
      <c r="M24" s="15"/>
      <c r="N24" s="15"/>
      <c r="O24" s="15"/>
    </row>
    <row r="25" spans="1:15" ht="13.8">
      <c r="A25" s="15"/>
      <c r="B25" s="29"/>
      <c r="C25" s="34"/>
      <c r="D25" s="29"/>
      <c r="E25" s="29"/>
      <c r="F25" s="29"/>
      <c r="G25" s="29"/>
      <c r="H25" s="29"/>
      <c r="I25" s="15"/>
      <c r="J25" s="15"/>
      <c r="K25" s="15"/>
      <c r="L25" s="15"/>
      <c r="M25" s="15"/>
      <c r="N25" s="15"/>
      <c r="O25" s="15"/>
    </row>
    <row r="26" spans="1:15" ht="13.8">
      <c r="A26" s="14" t="s">
        <v>6</v>
      </c>
      <c r="B26" s="14"/>
      <c r="C26" s="14"/>
      <c r="D26" s="14"/>
      <c r="E26" s="14"/>
      <c r="F26" s="14"/>
      <c r="G26" s="14"/>
      <c r="H26" s="14"/>
      <c r="I26" s="15"/>
      <c r="J26" s="14"/>
      <c r="K26" s="15"/>
      <c r="L26" s="15"/>
      <c r="M26" s="15"/>
      <c r="N26" s="15"/>
      <c r="O26" s="15"/>
    </row>
    <row r="27" spans="1:15" ht="13.8">
      <c r="A27" s="15"/>
      <c r="B27" s="180" t="s">
        <v>58</v>
      </c>
      <c r="C27" s="180"/>
      <c r="D27" s="180"/>
      <c r="E27" s="180"/>
      <c r="F27" s="15"/>
      <c r="G27" s="180" t="s">
        <v>59</v>
      </c>
      <c r="H27" s="180"/>
      <c r="I27" s="180"/>
      <c r="J27" s="15"/>
      <c r="K27" s="15"/>
      <c r="L27" s="15"/>
      <c r="M27" s="15"/>
      <c r="N27" s="15"/>
      <c r="O27" s="15"/>
    </row>
    <row r="28" spans="1:15" ht="13.8">
      <c r="A28" s="15" t="s">
        <v>17</v>
      </c>
      <c r="B28" s="17" t="s">
        <v>70</v>
      </c>
      <c r="C28" s="20"/>
      <c r="D28" s="20"/>
      <c r="E28" s="20"/>
      <c r="F28" s="20"/>
      <c r="G28" s="20"/>
      <c r="H28" s="20"/>
      <c r="I28" s="20"/>
      <c r="J28" s="17" t="s">
        <v>60</v>
      </c>
      <c r="K28" s="15"/>
      <c r="L28" s="15"/>
      <c r="M28" s="15"/>
      <c r="N28" s="15"/>
      <c r="O28" s="15"/>
    </row>
    <row r="29" spans="1:15" ht="13.8">
      <c r="A29" s="21" t="s">
        <v>61</v>
      </c>
      <c r="B29" s="23" t="s">
        <v>62</v>
      </c>
      <c r="C29" s="23" t="s">
        <v>26</v>
      </c>
      <c r="D29" s="25" t="s">
        <v>71</v>
      </c>
      <c r="E29" s="23" t="s">
        <v>85</v>
      </c>
      <c r="F29" s="24"/>
      <c r="G29" s="23" t="s">
        <v>64</v>
      </c>
      <c r="H29" s="23" t="s">
        <v>30</v>
      </c>
      <c r="I29" s="23" t="s">
        <v>63</v>
      </c>
      <c r="J29" s="23" t="s">
        <v>66</v>
      </c>
      <c r="K29" s="15"/>
      <c r="L29" s="15"/>
      <c r="M29" s="15"/>
      <c r="N29" s="15"/>
      <c r="O29" s="15"/>
    </row>
    <row r="30" spans="1:15" ht="14.4">
      <c r="A30" s="15"/>
      <c r="B30" s="184" t="s">
        <v>75</v>
      </c>
      <c r="C30" s="184"/>
      <c r="D30" s="184"/>
      <c r="E30" s="184"/>
      <c r="F30" s="184"/>
      <c r="G30" s="184"/>
      <c r="H30" s="184"/>
      <c r="I30" s="184"/>
      <c r="J30" s="184"/>
      <c r="K30" s="15"/>
      <c r="L30" s="15"/>
      <c r="M30" s="15"/>
      <c r="N30" s="15"/>
      <c r="O30" s="15"/>
    </row>
    <row r="31" spans="1:15" ht="13.8">
      <c r="A31" s="15" t="s">
        <v>34</v>
      </c>
      <c r="B31" s="121">
        <v>48.207999999999998</v>
      </c>
      <c r="C31" s="122">
        <v>430</v>
      </c>
      <c r="D31" s="121">
        <v>24.878063955389997</v>
      </c>
      <c r="E31" s="126">
        <f>B31+C31+D31</f>
        <v>503.08606395538999</v>
      </c>
      <c r="F31" s="75"/>
      <c r="G31" s="122">
        <f>I31-H31</f>
        <v>325.68860562582</v>
      </c>
      <c r="H31" s="122">
        <v>127.69945832956999</v>
      </c>
      <c r="I31" s="122">
        <f>E31-J31</f>
        <v>453.38806395539001</v>
      </c>
      <c r="J31" s="122">
        <v>49.698</v>
      </c>
      <c r="K31" s="15"/>
      <c r="L31" s="15"/>
      <c r="M31" s="15"/>
      <c r="N31" s="15"/>
      <c r="O31" s="15"/>
    </row>
    <row r="32" spans="1:15" ht="16.2">
      <c r="A32" s="15" t="s">
        <v>35</v>
      </c>
      <c r="B32" s="121">
        <f>J31</f>
        <v>49.698</v>
      </c>
      <c r="C32" s="122">
        <v>365.27800000000002</v>
      </c>
      <c r="D32" s="121">
        <v>15.945374023673999</v>
      </c>
      <c r="E32" s="126">
        <f>B32+C32+D32</f>
        <v>430.92137402367399</v>
      </c>
      <c r="F32" s="75"/>
      <c r="G32" s="122">
        <v>310</v>
      </c>
      <c r="H32" s="122">
        <v>71.126637277750007</v>
      </c>
      <c r="I32" s="122">
        <f>SUM(G32:H32)</f>
        <v>381.12663727774998</v>
      </c>
      <c r="J32" s="122">
        <f>E32-I32</f>
        <v>49.794736745924013</v>
      </c>
      <c r="K32" s="15"/>
      <c r="L32" s="15"/>
      <c r="M32" s="15"/>
      <c r="N32" s="15"/>
      <c r="O32" s="15"/>
    </row>
    <row r="33" spans="1:17" ht="16.2">
      <c r="A33" s="14" t="s">
        <v>36</v>
      </c>
      <c r="B33" s="169">
        <f>J32</f>
        <v>49.794736745924013</v>
      </c>
      <c r="C33" s="171">
        <v>370</v>
      </c>
      <c r="D33" s="169">
        <v>20</v>
      </c>
      <c r="E33" s="172">
        <f>B33+C33+D33</f>
        <v>439.79473674592401</v>
      </c>
      <c r="F33" s="170"/>
      <c r="G33" s="171">
        <v>340</v>
      </c>
      <c r="H33" s="171">
        <v>50</v>
      </c>
      <c r="I33" s="171">
        <f>SUM(G33:H33)</f>
        <v>390</v>
      </c>
      <c r="J33" s="171">
        <f>E33-I33</f>
        <v>49.794736745924013</v>
      </c>
      <c r="K33" s="15"/>
      <c r="L33" s="15"/>
      <c r="M33" s="15"/>
      <c r="N33" s="15"/>
      <c r="O33" s="15"/>
    </row>
    <row r="34" spans="1:17" ht="16.2">
      <c r="A34" s="42" t="s">
        <v>87</v>
      </c>
      <c r="B34" s="15"/>
      <c r="C34" s="73"/>
      <c r="D34" s="73"/>
      <c r="E34" s="73"/>
      <c r="F34" s="73"/>
      <c r="G34" s="73"/>
      <c r="H34" s="73"/>
      <c r="I34" s="15"/>
      <c r="J34" s="15"/>
      <c r="K34" s="15"/>
      <c r="L34" s="15"/>
      <c r="M34" s="15"/>
      <c r="N34" s="15"/>
      <c r="O34" s="15"/>
    </row>
    <row r="35" spans="1:17" ht="14.4">
      <c r="A35" s="15" t="s">
        <v>92</v>
      </c>
      <c r="B35" s="29"/>
      <c r="C35" s="34"/>
      <c r="D35" s="29"/>
      <c r="E35" s="29"/>
      <c r="F35" s="29"/>
      <c r="G35" s="29"/>
      <c r="H35" s="29"/>
      <c r="I35" s="15"/>
      <c r="J35" s="15"/>
      <c r="K35" s="15"/>
      <c r="L35" s="15"/>
      <c r="M35" s="15"/>
      <c r="N35" s="15"/>
      <c r="O35" s="15"/>
    </row>
    <row r="36" spans="1:17" ht="13.8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7" ht="13.8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7" ht="13.8">
      <c r="A38" s="14" t="s">
        <v>7</v>
      </c>
      <c r="B38" s="14"/>
      <c r="C38" s="14"/>
      <c r="D38" s="14"/>
      <c r="E38" s="14"/>
      <c r="F38" s="14"/>
      <c r="G38" s="14"/>
      <c r="H38" s="14"/>
      <c r="I38" s="14"/>
      <c r="J38" s="15"/>
      <c r="K38" s="15"/>
      <c r="L38" s="15"/>
      <c r="M38" s="15"/>
      <c r="N38" s="15"/>
      <c r="O38" s="15"/>
    </row>
    <row r="39" spans="1:17" ht="13.8">
      <c r="A39" s="15"/>
      <c r="B39" s="180" t="s">
        <v>13</v>
      </c>
      <c r="C39" s="180"/>
      <c r="D39" s="17" t="s">
        <v>14</v>
      </c>
      <c r="E39" s="180" t="s">
        <v>15</v>
      </c>
      <c r="F39" s="180"/>
      <c r="G39" s="180"/>
      <c r="H39" s="180"/>
      <c r="I39" s="15"/>
      <c r="J39" s="180" t="s">
        <v>59</v>
      </c>
      <c r="K39" s="180"/>
      <c r="L39" s="180"/>
      <c r="M39" s="180"/>
      <c r="N39" s="180"/>
      <c r="O39" s="72"/>
    </row>
    <row r="40" spans="1:17" ht="13.8">
      <c r="A40" s="15" t="s">
        <v>17</v>
      </c>
      <c r="B40" s="17" t="s">
        <v>18</v>
      </c>
      <c r="C40" s="17" t="s">
        <v>19</v>
      </c>
      <c r="D40" s="15"/>
      <c r="E40" s="17" t="s">
        <v>70</v>
      </c>
      <c r="F40" s="17"/>
      <c r="G40" s="17"/>
      <c r="H40" s="17"/>
      <c r="I40" s="15"/>
      <c r="J40" s="55" t="s">
        <v>90</v>
      </c>
      <c r="K40" s="17"/>
      <c r="L40" s="17" t="s">
        <v>22</v>
      </c>
      <c r="M40" s="17"/>
      <c r="N40" s="17"/>
      <c r="O40" s="17" t="s">
        <v>60</v>
      </c>
    </row>
    <row r="41" spans="1:17" ht="13.8">
      <c r="A41" s="21" t="s">
        <v>80</v>
      </c>
      <c r="B41" s="22"/>
      <c r="C41" s="22"/>
      <c r="D41" s="22"/>
      <c r="E41" s="23" t="s">
        <v>62</v>
      </c>
      <c r="F41" s="23" t="s">
        <v>26</v>
      </c>
      <c r="G41" s="23" t="s">
        <v>71</v>
      </c>
      <c r="H41" s="23" t="s">
        <v>85</v>
      </c>
      <c r="I41" s="23"/>
      <c r="J41" s="23" t="s">
        <v>93</v>
      </c>
      <c r="K41" s="23" t="s">
        <v>83</v>
      </c>
      <c r="L41" s="23" t="s">
        <v>29</v>
      </c>
      <c r="M41" s="25" t="s">
        <v>30</v>
      </c>
      <c r="N41" s="23" t="s">
        <v>63</v>
      </c>
      <c r="O41" s="23" t="s">
        <v>66</v>
      </c>
    </row>
    <row r="42" spans="1:17" ht="14.4">
      <c r="A42" s="15"/>
      <c r="B42" s="185" t="s">
        <v>94</v>
      </c>
      <c r="C42" s="186"/>
      <c r="D42" s="77" t="s">
        <v>95</v>
      </c>
      <c r="E42" s="187" t="s">
        <v>96</v>
      </c>
      <c r="F42" s="184"/>
      <c r="G42" s="184"/>
      <c r="H42" s="184"/>
      <c r="I42" s="184"/>
      <c r="J42" s="184"/>
      <c r="K42" s="184"/>
      <c r="L42" s="184"/>
      <c r="M42" s="184"/>
      <c r="N42" s="184"/>
      <c r="O42" s="186"/>
    </row>
    <row r="43" spans="1:17" ht="13.8">
      <c r="A43" s="15"/>
      <c r="B43" s="17"/>
      <c r="C43" s="1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7" ht="13.8">
      <c r="A44" s="15" t="s">
        <v>34</v>
      </c>
      <c r="B44" s="74">
        <v>1578.3</v>
      </c>
      <c r="C44" s="74">
        <v>1538</v>
      </c>
      <c r="D44" s="74">
        <f>F44*1000/C44</f>
        <v>4134.7139141742518</v>
      </c>
      <c r="E44" s="74">
        <v>1968.162</v>
      </c>
      <c r="F44" s="74">
        <v>6359.19</v>
      </c>
      <c r="G44" s="122">
        <v>107.03</v>
      </c>
      <c r="H44" s="74">
        <f>SUM(E44:G44)</f>
        <v>8434.3819999999996</v>
      </c>
      <c r="I44" s="74"/>
      <c r="J44" s="74">
        <v>3313</v>
      </c>
      <c r="K44" s="74">
        <v>842.43200000000002</v>
      </c>
      <c r="L44" s="122">
        <f t="shared" ref="L44" si="0">N44-J44-K44-M44</f>
        <v>734.55299999999988</v>
      </c>
      <c r="M44" s="122">
        <v>1184.1400000000001</v>
      </c>
      <c r="N44" s="74">
        <f>H44-O44</f>
        <v>6074.125</v>
      </c>
      <c r="O44" s="74">
        <v>2360.2570000000001</v>
      </c>
      <c r="P44" s="127"/>
      <c r="Q44" s="127"/>
    </row>
    <row r="45" spans="1:17" ht="16.2">
      <c r="A45" s="15" t="s">
        <v>35</v>
      </c>
      <c r="B45" s="74">
        <v>1448.5</v>
      </c>
      <c r="C45" s="74">
        <v>1381.4</v>
      </c>
      <c r="D45" s="74">
        <f>F45*1000/C45</f>
        <v>4011.7069639496162</v>
      </c>
      <c r="E45" s="74">
        <f>O44</f>
        <v>2360.2570000000001</v>
      </c>
      <c r="F45" s="74">
        <v>5541.7719999999999</v>
      </c>
      <c r="G45" s="122">
        <v>102.91</v>
      </c>
      <c r="H45" s="74">
        <f>SUM(E45:G45)</f>
        <v>8004.9390000000003</v>
      </c>
      <c r="I45" s="74"/>
      <c r="J45" s="74">
        <v>3201.4</v>
      </c>
      <c r="K45" s="74">
        <v>794.7</v>
      </c>
      <c r="L45" s="122">
        <f>N45-J45-K45-M45</f>
        <v>780.54099999999971</v>
      </c>
      <c r="M45" s="122">
        <v>1195.93</v>
      </c>
      <c r="N45" s="74">
        <f>H45-O45</f>
        <v>5972.5709999999999</v>
      </c>
      <c r="O45" s="74">
        <v>2032.3679999999999</v>
      </c>
      <c r="P45" s="127"/>
      <c r="Q45" s="127"/>
    </row>
    <row r="46" spans="1:17" ht="16.2">
      <c r="A46" s="14" t="s">
        <v>36</v>
      </c>
      <c r="B46" s="168">
        <v>1645</v>
      </c>
      <c r="C46" s="168">
        <v>1574</v>
      </c>
      <c r="D46" s="168">
        <f>F46*1000/C46</f>
        <v>3742.0711562897077</v>
      </c>
      <c r="E46" s="168">
        <f>O45</f>
        <v>2032.3679999999999</v>
      </c>
      <c r="F46" s="168">
        <v>5890.02</v>
      </c>
      <c r="G46" s="171">
        <v>105</v>
      </c>
      <c r="H46" s="168">
        <f>SUM(E46:G46)</f>
        <v>8027.3880000000008</v>
      </c>
      <c r="I46" s="168"/>
      <c r="J46" s="168">
        <v>3221.2</v>
      </c>
      <c r="K46" s="168">
        <v>675</v>
      </c>
      <c r="L46" s="171">
        <v>728.75</v>
      </c>
      <c r="M46" s="171">
        <v>1450</v>
      </c>
      <c r="N46" s="168">
        <f>SUM(J46:M46)</f>
        <v>6074.95</v>
      </c>
      <c r="O46" s="168">
        <f>H46-N46</f>
        <v>1952.438000000001</v>
      </c>
      <c r="P46" s="127"/>
      <c r="Q46" s="127"/>
    </row>
    <row r="47" spans="1:17" ht="16.2">
      <c r="A47" s="42" t="s">
        <v>87</v>
      </c>
      <c r="B47" s="15"/>
      <c r="C47" s="73"/>
      <c r="D47" s="73"/>
      <c r="E47" s="73"/>
      <c r="F47" s="73"/>
      <c r="G47" s="73"/>
      <c r="H47" s="73"/>
      <c r="I47" s="15"/>
      <c r="J47" s="15"/>
      <c r="K47" s="15"/>
      <c r="L47" s="15"/>
      <c r="M47" s="15"/>
      <c r="N47" s="15"/>
      <c r="O47" s="15"/>
    </row>
    <row r="48" spans="1:17" ht="14.4">
      <c r="A48" s="15" t="s">
        <v>97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4.4">
      <c r="A49" s="15" t="s">
        <v>89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3.8">
      <c r="A50" s="20" t="s">
        <v>57</v>
      </c>
      <c r="B50" s="78">
        <f>Contents!A16</f>
        <v>45363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44.4" customHeight="1">
      <c r="A51" s="79"/>
      <c r="B51" s="80"/>
      <c r="C51" s="80"/>
      <c r="D51" s="80"/>
      <c r="E51" s="80"/>
      <c r="F51" s="80"/>
      <c r="G51" s="80"/>
      <c r="H51" s="80"/>
      <c r="I51" s="80"/>
      <c r="J51" s="93"/>
      <c r="K51" s="80"/>
      <c r="L51" s="80"/>
      <c r="M51" s="80"/>
      <c r="N51" s="80"/>
      <c r="O51" s="80"/>
    </row>
    <row r="52" spans="1:15" ht="15.6">
      <c r="G52" s="63"/>
      <c r="H52" s="63"/>
    </row>
    <row r="53" spans="1:15" ht="15.6">
      <c r="G53" s="63"/>
      <c r="H53" s="63"/>
    </row>
    <row r="54" spans="1:15" ht="15.6">
      <c r="G54" s="63"/>
      <c r="H54" s="63"/>
    </row>
  </sheetData>
  <mergeCells count="14">
    <mergeCell ref="B39:C39"/>
    <mergeCell ref="B42:C42"/>
    <mergeCell ref="B18:J18"/>
    <mergeCell ref="E39:H39"/>
    <mergeCell ref="B30:J30"/>
    <mergeCell ref="E42:O42"/>
    <mergeCell ref="J39:N39"/>
    <mergeCell ref="G2:J2"/>
    <mergeCell ref="G15:I15"/>
    <mergeCell ref="B15:E15"/>
    <mergeCell ref="B2:E2"/>
    <mergeCell ref="B27:E27"/>
    <mergeCell ref="G27:I27"/>
    <mergeCell ref="B5:K5"/>
  </mergeCells>
  <phoneticPr fontId="40" type="noConversion"/>
  <pageMargins left="0.75" right="0.75" top="1" bottom="1" header="0.5" footer="0.5"/>
  <pageSetup scale="55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J43"/>
  <sheetViews>
    <sheetView showGridLines="0" zoomScale="70" zoomScaleNormal="70" workbookViewId="0">
      <pane xSplit="1" ySplit="4" topLeftCell="B18" activePane="bottomRight" state="frozen"/>
      <selection activeCell="I39" sqref="I39"/>
      <selection pane="topRight" activeCell="I39" sqref="I39"/>
      <selection pane="bottomLeft" activeCell="I39" sqref="I39"/>
      <selection pane="bottomRight"/>
    </sheetView>
  </sheetViews>
  <sheetFormatPr defaultColWidth="9.109375" defaultRowHeight="13.2"/>
  <cols>
    <col min="1" max="1" width="11.6640625" customWidth="1"/>
    <col min="2" max="2" width="18.88671875" bestFit="1" customWidth="1"/>
    <col min="3" max="3" width="22.109375" bestFit="1" customWidth="1"/>
    <col min="4" max="4" width="24.5546875" customWidth="1"/>
    <col min="5" max="5" width="25.33203125" customWidth="1"/>
    <col min="6" max="6" width="16.6640625" bestFit="1" customWidth="1"/>
    <col min="7" max="7" width="18.88671875" bestFit="1" customWidth="1"/>
  </cols>
  <sheetData>
    <row r="1" spans="1:10" ht="15.6" customHeight="1">
      <c r="A1" s="14" t="s">
        <v>8</v>
      </c>
      <c r="B1" s="14"/>
      <c r="C1" s="14"/>
      <c r="D1" s="14"/>
      <c r="E1" s="14"/>
      <c r="F1" s="14"/>
      <c r="G1" s="14"/>
    </row>
    <row r="2" spans="1:10" ht="15.6" customHeight="1">
      <c r="A2" s="15" t="s">
        <v>98</v>
      </c>
      <c r="B2" s="17" t="s">
        <v>99</v>
      </c>
      <c r="C2" s="17" t="s">
        <v>100</v>
      </c>
      <c r="D2" s="17" t="s">
        <v>101</v>
      </c>
      <c r="E2" s="17" t="s">
        <v>102</v>
      </c>
      <c r="F2" s="17" t="s">
        <v>103</v>
      </c>
      <c r="G2" s="17" t="s">
        <v>104</v>
      </c>
    </row>
    <row r="3" spans="1:10" ht="15.6" customHeight="1">
      <c r="A3" s="14" t="s">
        <v>105</v>
      </c>
      <c r="B3" s="24"/>
      <c r="C3" s="46"/>
      <c r="D3" s="46"/>
      <c r="E3" s="46"/>
      <c r="F3" s="46"/>
      <c r="G3" s="46"/>
    </row>
    <row r="4" spans="1:10" ht="14.4">
      <c r="A4" s="47"/>
      <c r="B4" s="48" t="s">
        <v>106</v>
      </c>
      <c r="C4" s="48" t="s">
        <v>107</v>
      </c>
      <c r="D4" s="48" t="s">
        <v>108</v>
      </c>
      <c r="E4" s="48" t="s">
        <v>108</v>
      </c>
      <c r="F4" s="48" t="s">
        <v>109</v>
      </c>
      <c r="G4" s="48" t="s">
        <v>106</v>
      </c>
    </row>
    <row r="5" spans="1:10" ht="13.8">
      <c r="A5" s="15"/>
      <c r="B5" s="15"/>
      <c r="C5" s="15"/>
      <c r="D5" s="17"/>
      <c r="E5" s="15"/>
      <c r="F5" s="15"/>
      <c r="G5" s="15"/>
    </row>
    <row r="6" spans="1:10" ht="13.8">
      <c r="A6" s="15" t="s">
        <v>110</v>
      </c>
      <c r="B6" s="49">
        <v>11.3</v>
      </c>
      <c r="C6" s="49">
        <v>161</v>
      </c>
      <c r="D6" s="49">
        <v>23.3</v>
      </c>
      <c r="E6" s="49">
        <v>19.3</v>
      </c>
      <c r="F6" s="49">
        <v>22.5</v>
      </c>
      <c r="G6" s="49">
        <v>12.2</v>
      </c>
      <c r="J6" s="64"/>
    </row>
    <row r="7" spans="1:10" ht="13.8">
      <c r="A7" s="15" t="s">
        <v>111</v>
      </c>
      <c r="B7" s="49">
        <v>12.5</v>
      </c>
      <c r="C7" s="49">
        <v>260</v>
      </c>
      <c r="D7" s="49">
        <v>29.1</v>
      </c>
      <c r="E7" s="49">
        <v>24</v>
      </c>
      <c r="F7" s="49">
        <v>31.8</v>
      </c>
      <c r="G7" s="49">
        <v>13.9</v>
      </c>
      <c r="J7" s="64"/>
    </row>
    <row r="8" spans="1:10" ht="13.8">
      <c r="A8" s="15" t="s">
        <v>112</v>
      </c>
      <c r="B8" s="49">
        <v>14.4</v>
      </c>
      <c r="C8" s="49">
        <v>252</v>
      </c>
      <c r="D8" s="49">
        <v>25.4</v>
      </c>
      <c r="E8" s="49">
        <v>26.5</v>
      </c>
      <c r="F8" s="49">
        <v>30.1</v>
      </c>
      <c r="G8" s="49">
        <v>13.8</v>
      </c>
      <c r="J8" s="64"/>
    </row>
    <row r="9" spans="1:10" ht="13.8">
      <c r="A9" s="15" t="s">
        <v>113</v>
      </c>
      <c r="B9" s="49">
        <v>13</v>
      </c>
      <c r="C9" s="49">
        <v>246</v>
      </c>
      <c r="D9" s="49">
        <v>21.4</v>
      </c>
      <c r="E9" s="49">
        <v>20.6</v>
      </c>
      <c r="F9" s="49">
        <v>24.9</v>
      </c>
      <c r="G9" s="49">
        <v>13.8</v>
      </c>
      <c r="J9" s="64"/>
    </row>
    <row r="10" spans="1:10" ht="13.8">
      <c r="A10" s="15" t="s">
        <v>114</v>
      </c>
      <c r="B10" s="49">
        <v>10.1</v>
      </c>
      <c r="C10" s="49">
        <v>194</v>
      </c>
      <c r="D10" s="49">
        <v>21.7</v>
      </c>
      <c r="E10" s="49">
        <v>16.899999999999999</v>
      </c>
      <c r="F10" s="49">
        <v>22</v>
      </c>
      <c r="G10" s="49">
        <v>11.8</v>
      </c>
      <c r="J10" s="64"/>
    </row>
    <row r="11" spans="1:10" ht="13.8">
      <c r="A11" s="15" t="s">
        <v>115</v>
      </c>
      <c r="B11" s="49">
        <v>8.9499999999999993</v>
      </c>
      <c r="C11" s="49">
        <v>227</v>
      </c>
      <c r="D11" s="49">
        <v>19.600000000000001</v>
      </c>
      <c r="E11" s="49">
        <v>15.6</v>
      </c>
      <c r="F11" s="49">
        <v>19.3</v>
      </c>
      <c r="G11" s="49">
        <v>8.9499999999999993</v>
      </c>
      <c r="J11" s="64"/>
    </row>
    <row r="12" spans="1:10" ht="13.8">
      <c r="A12" s="15" t="s">
        <v>116</v>
      </c>
      <c r="B12" s="49">
        <v>9.4700000000000006</v>
      </c>
      <c r="C12" s="49">
        <v>195</v>
      </c>
      <c r="D12" s="49">
        <v>17.399999999999999</v>
      </c>
      <c r="E12" s="49">
        <v>16.600000000000001</v>
      </c>
      <c r="F12" s="49">
        <v>19.7</v>
      </c>
      <c r="G12" s="49">
        <v>8</v>
      </c>
      <c r="J12" s="64"/>
    </row>
    <row r="13" spans="1:10" ht="13.8">
      <c r="A13" s="15" t="s">
        <v>117</v>
      </c>
      <c r="B13" s="49">
        <v>9.33</v>
      </c>
      <c r="C13" s="49">
        <v>142</v>
      </c>
      <c r="D13" s="49">
        <v>17.2</v>
      </c>
      <c r="E13" s="49">
        <v>17.5</v>
      </c>
      <c r="F13" s="49">
        <v>22.9</v>
      </c>
      <c r="G13" s="49">
        <v>9.5299999999999994</v>
      </c>
      <c r="J13" s="64"/>
    </row>
    <row r="14" spans="1:10" ht="13.8">
      <c r="A14" s="15" t="s">
        <v>118</v>
      </c>
      <c r="B14" s="49">
        <v>8.48</v>
      </c>
      <c r="C14" s="49">
        <v>155</v>
      </c>
      <c r="D14" s="49">
        <v>17.399999999999999</v>
      </c>
      <c r="E14" s="49">
        <v>15.8</v>
      </c>
      <c r="F14" s="49">
        <v>21.5</v>
      </c>
      <c r="G14" s="49">
        <v>9.89</v>
      </c>
      <c r="J14" s="64"/>
    </row>
    <row r="15" spans="1:10" ht="13.8">
      <c r="A15" s="15" t="s">
        <v>119</v>
      </c>
      <c r="B15" s="49">
        <v>8.57</v>
      </c>
      <c r="C15" s="49">
        <v>161</v>
      </c>
      <c r="D15" s="49">
        <v>19.5</v>
      </c>
      <c r="E15" s="49">
        <v>14.8</v>
      </c>
      <c r="F15" s="49">
        <v>20.5</v>
      </c>
      <c r="G15" s="49">
        <v>9.15</v>
      </c>
      <c r="J15" s="64"/>
    </row>
    <row r="16" spans="1:10" ht="13.8">
      <c r="A16" s="15" t="s">
        <v>120</v>
      </c>
      <c r="B16" s="49">
        <v>10.8</v>
      </c>
      <c r="C16" s="49">
        <v>194</v>
      </c>
      <c r="D16" s="49">
        <v>21.3</v>
      </c>
      <c r="E16" s="49">
        <v>18.400000000000002</v>
      </c>
      <c r="F16" s="49">
        <v>21</v>
      </c>
      <c r="G16" s="49">
        <v>11.1</v>
      </c>
      <c r="J16" s="64"/>
    </row>
    <row r="17" spans="1:10" ht="13.8">
      <c r="A17" s="15" t="s">
        <v>34</v>
      </c>
      <c r="B17" s="49">
        <v>13.3</v>
      </c>
      <c r="C17" s="49">
        <v>243</v>
      </c>
      <c r="D17" s="95">
        <v>32.9</v>
      </c>
      <c r="E17" s="49">
        <v>32.9</v>
      </c>
      <c r="F17" s="49">
        <v>24.3</v>
      </c>
      <c r="G17" s="49">
        <v>25.9</v>
      </c>
      <c r="J17" s="64"/>
    </row>
    <row r="18" spans="1:10" ht="16.2">
      <c r="A18" s="15" t="s">
        <v>121</v>
      </c>
      <c r="B18" s="49">
        <v>14.2</v>
      </c>
      <c r="C18" s="95">
        <v>306</v>
      </c>
      <c r="D18" s="49">
        <v>27.8</v>
      </c>
      <c r="E18" s="49">
        <v>29.8</v>
      </c>
      <c r="F18" s="49">
        <v>26.8</v>
      </c>
      <c r="G18" s="95">
        <v>17.5</v>
      </c>
      <c r="H18" s="106"/>
      <c r="J18" s="64"/>
    </row>
    <row r="19" spans="1:10" ht="16.2">
      <c r="A19" s="15" t="s">
        <v>122</v>
      </c>
      <c r="B19" s="49">
        <v>12.65</v>
      </c>
      <c r="C19" s="49">
        <v>210</v>
      </c>
      <c r="D19" s="95">
        <v>19.8</v>
      </c>
      <c r="E19" s="49">
        <v>24.5</v>
      </c>
      <c r="F19" s="49">
        <v>27</v>
      </c>
      <c r="G19" s="95">
        <v>12.6</v>
      </c>
      <c r="H19" s="106"/>
      <c r="J19" s="64"/>
    </row>
    <row r="20" spans="1:10" ht="13.8">
      <c r="A20" s="15"/>
      <c r="B20" s="50"/>
      <c r="C20" s="51"/>
      <c r="D20" s="52"/>
      <c r="E20" s="52"/>
      <c r="F20" s="51"/>
      <c r="G20" s="53"/>
      <c r="H20" s="43"/>
      <c r="J20" s="64"/>
    </row>
    <row r="21" spans="1:10" ht="13.8">
      <c r="A21" s="54" t="s">
        <v>37</v>
      </c>
      <c r="B21" s="49"/>
      <c r="C21" s="49"/>
      <c r="D21" s="49"/>
      <c r="E21" s="49"/>
      <c r="F21" s="49"/>
      <c r="G21" s="49"/>
    </row>
    <row r="22" spans="1:10" ht="13.8">
      <c r="A22" s="15" t="s">
        <v>38</v>
      </c>
      <c r="B22" s="95">
        <v>14.2</v>
      </c>
      <c r="C22" s="49">
        <v>316</v>
      </c>
      <c r="D22" s="49">
        <v>32.9</v>
      </c>
      <c r="E22" s="49">
        <v>28.1</v>
      </c>
      <c r="F22" s="49">
        <v>25.6</v>
      </c>
      <c r="G22" s="49">
        <v>18.899999999999999</v>
      </c>
    </row>
    <row r="23" spans="1:10" ht="13.8">
      <c r="A23" s="15" t="s">
        <v>39</v>
      </c>
      <c r="B23" s="49">
        <v>13.5</v>
      </c>
      <c r="C23" s="49">
        <v>340</v>
      </c>
      <c r="D23" s="49">
        <v>29.3</v>
      </c>
      <c r="E23" s="49">
        <v>28.1</v>
      </c>
      <c r="F23" s="49">
        <v>26.400000000000002</v>
      </c>
      <c r="G23" s="49">
        <v>18.600000000000001</v>
      </c>
    </row>
    <row r="24" spans="1:10" ht="13.8">
      <c r="A24" s="15" t="s">
        <v>40</v>
      </c>
      <c r="B24" s="49">
        <v>14</v>
      </c>
      <c r="C24" s="49">
        <v>281</v>
      </c>
      <c r="D24" s="49">
        <v>28.4</v>
      </c>
      <c r="E24" s="49">
        <v>29.2</v>
      </c>
      <c r="F24" s="49">
        <v>28.799999999999997</v>
      </c>
      <c r="G24" s="49">
        <v>19.5</v>
      </c>
    </row>
    <row r="25" spans="1:10" ht="13.8">
      <c r="A25" s="15" t="s">
        <v>42</v>
      </c>
      <c r="B25" s="49">
        <v>14.4</v>
      </c>
      <c r="C25" s="49">
        <v>315</v>
      </c>
      <c r="D25" s="49">
        <v>29.5</v>
      </c>
      <c r="E25" s="49">
        <v>29.2</v>
      </c>
      <c r="F25" s="49">
        <v>24.5</v>
      </c>
      <c r="G25" s="49">
        <v>18.3</v>
      </c>
    </row>
    <row r="26" spans="1:10" ht="13.8">
      <c r="A26" s="15" t="s">
        <v>43</v>
      </c>
      <c r="B26" s="49">
        <v>14.5</v>
      </c>
      <c r="C26" s="49">
        <v>273</v>
      </c>
      <c r="D26" s="49">
        <v>29</v>
      </c>
      <c r="E26" s="49">
        <v>30.1</v>
      </c>
      <c r="F26" s="49">
        <v>27.700000000000003</v>
      </c>
      <c r="G26" s="49">
        <v>17.7</v>
      </c>
    </row>
    <row r="27" spans="1:10" ht="13.8">
      <c r="A27" s="15" t="s">
        <v>44</v>
      </c>
      <c r="B27" s="49">
        <v>15.1</v>
      </c>
      <c r="C27" s="49">
        <v>223</v>
      </c>
      <c r="D27" s="49">
        <v>29.9</v>
      </c>
      <c r="E27" s="49">
        <v>31.7</v>
      </c>
      <c r="F27" s="49">
        <v>27</v>
      </c>
      <c r="G27" s="49">
        <v>15.4</v>
      </c>
    </row>
    <row r="28" spans="1:10" ht="13.8">
      <c r="A28" s="15" t="s">
        <v>46</v>
      </c>
      <c r="B28" s="49">
        <v>14.9</v>
      </c>
      <c r="C28" s="49" t="s">
        <v>78</v>
      </c>
      <c r="D28" s="49">
        <v>27.5</v>
      </c>
      <c r="E28" s="49">
        <v>29.8</v>
      </c>
      <c r="F28" s="49">
        <v>26.700000000000003</v>
      </c>
      <c r="G28" s="49">
        <v>14.8</v>
      </c>
    </row>
    <row r="29" spans="1:10" ht="13.8">
      <c r="A29" s="15" t="s">
        <v>47</v>
      </c>
      <c r="B29" s="49">
        <v>14.9</v>
      </c>
      <c r="C29" s="49" t="s">
        <v>78</v>
      </c>
      <c r="D29" s="49">
        <v>26.9</v>
      </c>
      <c r="E29" s="49">
        <v>26.8</v>
      </c>
      <c r="F29" s="49">
        <v>27.200000000000003</v>
      </c>
      <c r="G29" s="49">
        <v>12.1</v>
      </c>
    </row>
    <row r="30" spans="1:10" ht="13.8">
      <c r="A30" s="15" t="s">
        <v>48</v>
      </c>
      <c r="B30" s="49">
        <v>14.4</v>
      </c>
      <c r="C30" s="49" t="s">
        <v>78</v>
      </c>
      <c r="D30" s="49">
        <v>24.9</v>
      </c>
      <c r="E30" s="49">
        <v>25.2</v>
      </c>
      <c r="F30" s="49">
        <v>27.700000000000003</v>
      </c>
      <c r="G30" s="49">
        <v>12.5</v>
      </c>
    </row>
    <row r="31" spans="1:10" ht="13.8">
      <c r="A31" s="15" t="s">
        <v>50</v>
      </c>
      <c r="B31" s="49">
        <v>14.2</v>
      </c>
      <c r="C31" s="49" t="s">
        <v>78</v>
      </c>
      <c r="D31" s="49">
        <v>23.6</v>
      </c>
      <c r="E31" s="49">
        <v>27.3</v>
      </c>
      <c r="F31" s="49">
        <v>27.900000000000002</v>
      </c>
      <c r="G31" s="49">
        <v>13.1</v>
      </c>
    </row>
    <row r="32" spans="1:10" ht="13.8">
      <c r="A32" s="15" t="s">
        <v>51</v>
      </c>
      <c r="B32" s="49">
        <v>14.7</v>
      </c>
      <c r="C32" s="49" t="s">
        <v>78</v>
      </c>
      <c r="D32" s="49">
        <v>25</v>
      </c>
      <c r="E32" s="49">
        <v>27.2</v>
      </c>
      <c r="F32" s="49">
        <v>27.700000000000003</v>
      </c>
      <c r="G32" s="49">
        <v>11</v>
      </c>
    </row>
    <row r="33" spans="1:7" ht="13.8">
      <c r="A33" s="15" t="s">
        <v>52</v>
      </c>
      <c r="B33" s="49">
        <v>14.1</v>
      </c>
      <c r="C33" s="49">
        <v>219</v>
      </c>
      <c r="D33" s="49">
        <v>23.6</v>
      </c>
      <c r="E33" s="49">
        <v>28.1</v>
      </c>
      <c r="F33" s="49">
        <v>27.1</v>
      </c>
      <c r="G33" s="49">
        <v>11.2</v>
      </c>
    </row>
    <row r="34" spans="1:7" ht="13.8">
      <c r="A34" s="15"/>
      <c r="B34" s="49"/>
      <c r="C34" s="49"/>
      <c r="D34" s="49"/>
      <c r="E34" s="49"/>
      <c r="F34" s="49"/>
      <c r="G34" s="49"/>
    </row>
    <row r="35" spans="1:7" ht="13.8">
      <c r="A35" s="54" t="s">
        <v>54</v>
      </c>
      <c r="B35" s="49"/>
      <c r="C35" s="49"/>
      <c r="D35" s="49"/>
      <c r="E35" s="49"/>
      <c r="F35" s="49"/>
      <c r="G35" s="49"/>
    </row>
    <row r="36" spans="1:7" ht="13.8">
      <c r="A36" s="15" t="s">
        <v>38</v>
      </c>
      <c r="B36" s="49">
        <v>13.2</v>
      </c>
      <c r="C36" s="49">
        <v>242</v>
      </c>
      <c r="D36" s="49">
        <v>24</v>
      </c>
      <c r="E36" s="49">
        <v>25.1</v>
      </c>
      <c r="F36" s="49">
        <v>26.7</v>
      </c>
      <c r="G36" s="49">
        <v>12</v>
      </c>
    </row>
    <row r="37" spans="1:7" ht="13.8">
      <c r="A37" s="15" t="s">
        <v>39</v>
      </c>
      <c r="B37" s="49">
        <v>12.7</v>
      </c>
      <c r="C37" s="49">
        <v>233</v>
      </c>
      <c r="D37" s="49">
        <v>20.100000000000001</v>
      </c>
      <c r="E37" s="49">
        <v>23.6</v>
      </c>
      <c r="F37" s="49">
        <v>26.7</v>
      </c>
      <c r="G37" s="49">
        <v>13</v>
      </c>
    </row>
    <row r="38" spans="1:7" ht="13.8">
      <c r="A38" s="15" t="s">
        <v>40</v>
      </c>
      <c r="B38" s="49">
        <v>13</v>
      </c>
      <c r="C38" s="49">
        <v>226</v>
      </c>
      <c r="D38" s="49">
        <v>22.6</v>
      </c>
      <c r="E38" s="49">
        <v>25.5</v>
      </c>
      <c r="F38" s="49">
        <v>29.5</v>
      </c>
      <c r="G38" s="49">
        <v>12.2</v>
      </c>
    </row>
    <row r="39" spans="1:7" ht="13.8">
      <c r="A39" s="15" t="s">
        <v>42</v>
      </c>
      <c r="B39" s="49">
        <v>13.1</v>
      </c>
      <c r="C39" s="49">
        <v>209</v>
      </c>
      <c r="D39" s="49">
        <v>24.2</v>
      </c>
      <c r="E39" s="49">
        <v>24.2</v>
      </c>
      <c r="F39" s="49">
        <v>24.3</v>
      </c>
      <c r="G39" s="49">
        <v>13.4</v>
      </c>
    </row>
    <row r="40" spans="1:7" ht="13.8">
      <c r="A40" s="15" t="s">
        <v>43</v>
      </c>
      <c r="B40" s="49">
        <v>12.8</v>
      </c>
      <c r="C40" s="49">
        <v>174</v>
      </c>
      <c r="D40" s="49">
        <v>21.3</v>
      </c>
      <c r="E40" s="49">
        <v>24.4</v>
      </c>
      <c r="F40" s="49">
        <v>27.1</v>
      </c>
      <c r="G40" s="49">
        <v>12.1</v>
      </c>
    </row>
    <row r="41" spans="1:7" ht="16.2">
      <c r="A41" s="72" t="s">
        <v>123</v>
      </c>
      <c r="B41" s="72"/>
      <c r="C41" s="72"/>
      <c r="D41" s="72"/>
      <c r="E41" s="72"/>
      <c r="F41" s="72"/>
      <c r="G41" s="72"/>
    </row>
    <row r="42" spans="1:7" ht="14.4">
      <c r="A42" s="15" t="s">
        <v>124</v>
      </c>
      <c r="B42" s="15"/>
      <c r="C42" s="15"/>
      <c r="D42" s="15"/>
      <c r="E42" s="15"/>
      <c r="F42" s="15"/>
      <c r="G42" s="15"/>
    </row>
    <row r="43" spans="1:7" ht="13.8">
      <c r="A43" s="20" t="s">
        <v>57</v>
      </c>
      <c r="B43" s="37">
        <f>Contents!A16</f>
        <v>45363</v>
      </c>
      <c r="C43" s="15"/>
      <c r="D43" s="15"/>
      <c r="E43" s="15"/>
      <c r="F43" s="15"/>
      <c r="G43" s="15"/>
    </row>
  </sheetData>
  <phoneticPr fontId="40" type="noConversion"/>
  <pageMargins left="0.75" right="0.75" top="1" bottom="1" header="0.5" footer="0.5"/>
  <pageSetup scale="6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M64"/>
  <sheetViews>
    <sheetView showGridLines="0" zoomScale="70" zoomScaleNormal="70" workbookViewId="0">
      <pane xSplit="1" ySplit="4" topLeftCell="B16" activePane="bottomRight" state="frozen"/>
      <selection activeCell="I39" sqref="I39"/>
      <selection pane="topRight" activeCell="I39" sqref="I39"/>
      <selection pane="bottomLeft" activeCell="I39" sqref="I39"/>
      <selection pane="bottomRight"/>
    </sheetView>
  </sheetViews>
  <sheetFormatPr defaultColWidth="9.109375" defaultRowHeight="13.2"/>
  <cols>
    <col min="1" max="2" width="11.6640625" customWidth="1"/>
    <col min="3" max="3" width="11.5546875" customWidth="1"/>
    <col min="4" max="4" width="13.6640625" customWidth="1"/>
    <col min="5" max="5" width="11.6640625" customWidth="1"/>
    <col min="6" max="6" width="11.5546875" bestFit="1" customWidth="1"/>
    <col min="7" max="7" width="10.6640625" customWidth="1"/>
    <col min="8" max="8" width="12" customWidth="1"/>
    <col min="9" max="9" width="13.44140625" customWidth="1"/>
  </cols>
  <sheetData>
    <row r="1" spans="1:13" ht="13.8">
      <c r="A1" s="14" t="s">
        <v>9</v>
      </c>
      <c r="B1" s="14"/>
      <c r="C1" s="14"/>
      <c r="D1" s="14"/>
      <c r="E1" s="14"/>
      <c r="F1" s="14"/>
      <c r="G1" s="14"/>
      <c r="H1" s="14"/>
      <c r="I1" s="15"/>
    </row>
    <row r="2" spans="1:13" ht="15.6" customHeight="1">
      <c r="A2" s="55" t="s">
        <v>98</v>
      </c>
      <c r="B2" s="17" t="s">
        <v>125</v>
      </c>
      <c r="C2" s="17" t="s">
        <v>126</v>
      </c>
      <c r="D2" s="17" t="s">
        <v>127</v>
      </c>
      <c r="E2" s="56" t="s">
        <v>128</v>
      </c>
      <c r="F2" s="56" t="s">
        <v>129</v>
      </c>
      <c r="G2" s="17" t="s">
        <v>130</v>
      </c>
      <c r="H2" s="17" t="s">
        <v>131</v>
      </c>
      <c r="I2" s="57" t="s">
        <v>132</v>
      </c>
    </row>
    <row r="3" spans="1:13" ht="15.6" customHeight="1">
      <c r="A3" s="58" t="s">
        <v>105</v>
      </c>
      <c r="B3" s="23" t="s">
        <v>133</v>
      </c>
      <c r="C3" s="23" t="s">
        <v>134</v>
      </c>
      <c r="D3" s="23" t="s">
        <v>135</v>
      </c>
      <c r="E3" s="23" t="s">
        <v>135</v>
      </c>
      <c r="F3" s="23" t="s">
        <v>136</v>
      </c>
      <c r="G3" s="23" t="s">
        <v>137</v>
      </c>
      <c r="H3" s="23"/>
      <c r="I3" s="23" t="s">
        <v>138</v>
      </c>
    </row>
    <row r="4" spans="1:13" ht="14.4">
      <c r="A4" s="59" t="s">
        <v>139</v>
      </c>
      <c r="C4" s="60"/>
      <c r="D4" s="60"/>
      <c r="E4" s="60"/>
      <c r="F4" s="60"/>
      <c r="G4" s="60"/>
      <c r="H4" s="60"/>
      <c r="I4" s="60"/>
    </row>
    <row r="5" spans="1:13" ht="13.8">
      <c r="A5" s="15"/>
      <c r="B5" s="15"/>
      <c r="C5" s="15"/>
      <c r="D5" s="15"/>
      <c r="E5" s="15"/>
      <c r="F5" s="15"/>
      <c r="G5" s="15"/>
      <c r="H5" s="15"/>
      <c r="I5" s="15"/>
    </row>
    <row r="6" spans="1:13" ht="13.8">
      <c r="A6" s="15" t="s">
        <v>110</v>
      </c>
      <c r="B6" s="49">
        <v>53.2</v>
      </c>
      <c r="C6" s="49">
        <v>54.5</v>
      </c>
      <c r="D6" s="49">
        <v>86.12</v>
      </c>
      <c r="E6" s="49">
        <v>58.68</v>
      </c>
      <c r="F6" s="49">
        <v>77.239999999999995</v>
      </c>
      <c r="G6" s="49">
        <v>60.76</v>
      </c>
      <c r="H6" s="49">
        <v>51.52</v>
      </c>
      <c r="I6" s="49">
        <v>51.34</v>
      </c>
      <c r="K6" s="64"/>
      <c r="L6" s="64"/>
      <c r="M6" s="64"/>
    </row>
    <row r="7" spans="1:13" ht="13.8">
      <c r="A7" s="15" t="s">
        <v>111</v>
      </c>
      <c r="B7" s="49">
        <v>51.9</v>
      </c>
      <c r="C7" s="49">
        <v>53.22</v>
      </c>
      <c r="D7" s="49">
        <v>83.2</v>
      </c>
      <c r="E7" s="49">
        <v>57.19</v>
      </c>
      <c r="F7" s="49">
        <v>100.15</v>
      </c>
      <c r="G7" s="49">
        <v>56.09</v>
      </c>
      <c r="H7" s="49">
        <v>48.11</v>
      </c>
      <c r="I7" s="49">
        <v>50.33</v>
      </c>
      <c r="K7" s="64"/>
      <c r="L7" s="64"/>
      <c r="M7" s="64"/>
    </row>
    <row r="8" spans="1:13" ht="13.8">
      <c r="A8" s="15" t="s">
        <v>112</v>
      </c>
      <c r="B8" s="49">
        <v>47.13</v>
      </c>
      <c r="C8" s="49">
        <v>48.6</v>
      </c>
      <c r="D8" s="49">
        <v>65.87</v>
      </c>
      <c r="E8" s="49">
        <v>56.17</v>
      </c>
      <c r="F8" s="49">
        <v>91.83</v>
      </c>
      <c r="G8" s="49">
        <v>46.66</v>
      </c>
      <c r="H8" s="49">
        <v>51.8</v>
      </c>
      <c r="I8" s="49">
        <v>43.24</v>
      </c>
      <c r="K8" s="64"/>
      <c r="L8" s="64"/>
      <c r="M8" s="64"/>
    </row>
    <row r="9" spans="1:13" ht="13.8">
      <c r="A9" s="15" t="s">
        <v>113</v>
      </c>
      <c r="B9" s="49">
        <v>38.229999999999997</v>
      </c>
      <c r="C9" s="49">
        <v>60.66</v>
      </c>
      <c r="D9" s="49">
        <v>59.12</v>
      </c>
      <c r="E9" s="49">
        <v>43.7</v>
      </c>
      <c r="F9" s="49">
        <v>68.23</v>
      </c>
      <c r="G9" s="49">
        <v>39.43</v>
      </c>
      <c r="H9" s="49">
        <v>43.93</v>
      </c>
      <c r="I9" s="49">
        <v>39.76</v>
      </c>
      <c r="K9" s="64"/>
      <c r="L9" s="64"/>
      <c r="M9" s="64"/>
    </row>
    <row r="10" spans="1:13" ht="13.8">
      <c r="A10" s="15" t="s">
        <v>114</v>
      </c>
      <c r="B10" s="49">
        <v>31.6</v>
      </c>
      <c r="C10" s="49">
        <v>45.74</v>
      </c>
      <c r="D10" s="49">
        <v>66.72</v>
      </c>
      <c r="E10" s="49">
        <v>37.81</v>
      </c>
      <c r="F10" s="49">
        <v>57.96</v>
      </c>
      <c r="G10" s="49">
        <v>37.479999999999997</v>
      </c>
      <c r="H10" s="49">
        <v>33.43</v>
      </c>
      <c r="I10" s="49">
        <v>31.36</v>
      </c>
      <c r="K10" s="64"/>
      <c r="L10" s="64"/>
      <c r="M10" s="64"/>
    </row>
    <row r="11" spans="1:13" ht="13.8">
      <c r="A11" s="15" t="s">
        <v>115</v>
      </c>
      <c r="B11" s="49">
        <v>29.86</v>
      </c>
      <c r="C11" s="49">
        <v>45.87</v>
      </c>
      <c r="D11" s="49">
        <v>57.81</v>
      </c>
      <c r="E11" s="49">
        <v>35.270000000000003</v>
      </c>
      <c r="F11" s="49">
        <v>58.26</v>
      </c>
      <c r="G11" s="49">
        <v>39.25</v>
      </c>
      <c r="H11" s="49">
        <v>32.229999999999997</v>
      </c>
      <c r="I11" s="49">
        <v>30.07</v>
      </c>
      <c r="K11" s="64"/>
      <c r="L11" s="64"/>
      <c r="M11" s="64"/>
    </row>
    <row r="12" spans="1:13" ht="13.8">
      <c r="A12" s="15" t="s">
        <v>116</v>
      </c>
      <c r="B12" s="49">
        <v>32.549999999999997</v>
      </c>
      <c r="C12" s="49">
        <v>40.92</v>
      </c>
      <c r="D12" s="49">
        <v>53.54</v>
      </c>
      <c r="E12" s="49">
        <v>38.729999999999997</v>
      </c>
      <c r="F12" s="49">
        <v>66.73</v>
      </c>
      <c r="G12" s="49">
        <v>37.43</v>
      </c>
      <c r="H12" s="49">
        <v>33.07</v>
      </c>
      <c r="I12" s="49">
        <v>34.75</v>
      </c>
      <c r="K12" s="64"/>
      <c r="L12" s="64"/>
      <c r="M12" s="64"/>
    </row>
    <row r="13" spans="1:13" ht="13.8">
      <c r="A13" s="15" t="s">
        <v>117</v>
      </c>
      <c r="B13" s="49">
        <v>30.04</v>
      </c>
      <c r="C13" s="49">
        <v>31.87</v>
      </c>
      <c r="D13" s="49">
        <v>54.57</v>
      </c>
      <c r="E13" s="49">
        <v>38.270000000000003</v>
      </c>
      <c r="F13" s="49">
        <v>66.72</v>
      </c>
      <c r="G13" s="49">
        <v>30.35</v>
      </c>
      <c r="H13" s="49">
        <v>34.159999999999997</v>
      </c>
      <c r="I13" s="49">
        <v>31.21</v>
      </c>
      <c r="K13" s="64"/>
      <c r="L13" s="64"/>
      <c r="M13" s="64"/>
    </row>
    <row r="14" spans="1:13" ht="13.8">
      <c r="A14" s="15" t="s">
        <v>118</v>
      </c>
      <c r="B14" s="49">
        <v>28.26</v>
      </c>
      <c r="C14" s="49">
        <v>35.14</v>
      </c>
      <c r="D14" s="49">
        <v>53.28</v>
      </c>
      <c r="E14" s="49">
        <v>36.090000000000003</v>
      </c>
      <c r="F14" s="49">
        <v>64.72</v>
      </c>
      <c r="G14" s="49">
        <v>26.93</v>
      </c>
      <c r="H14" s="49">
        <v>31.65</v>
      </c>
      <c r="I14" s="49">
        <v>33.11</v>
      </c>
      <c r="K14" s="64"/>
      <c r="L14" s="64"/>
      <c r="M14" s="64"/>
    </row>
    <row r="15" spans="1:13" ht="13.8">
      <c r="A15" s="15" t="s">
        <v>119</v>
      </c>
      <c r="B15" s="49">
        <v>29.65</v>
      </c>
      <c r="C15" s="49">
        <v>40.18</v>
      </c>
      <c r="D15" s="49">
        <v>65.03</v>
      </c>
      <c r="E15" s="49">
        <v>37.869999999999997</v>
      </c>
      <c r="F15" s="49">
        <v>62</v>
      </c>
      <c r="G15" s="49">
        <v>39.47</v>
      </c>
      <c r="H15" s="49">
        <v>35.75</v>
      </c>
      <c r="I15" s="49">
        <v>38.369999999999997</v>
      </c>
      <c r="K15" s="64"/>
      <c r="L15" s="64"/>
      <c r="M15" s="64"/>
    </row>
    <row r="16" spans="1:13" ht="13.8">
      <c r="A16" s="15" t="s">
        <v>120</v>
      </c>
      <c r="B16" s="49">
        <v>56.87</v>
      </c>
      <c r="C16" s="49">
        <v>80.94</v>
      </c>
      <c r="D16" s="49">
        <v>79</v>
      </c>
      <c r="E16" s="49">
        <v>70.459999999999994</v>
      </c>
      <c r="F16" s="49">
        <v>101.4</v>
      </c>
      <c r="G16" s="49">
        <v>53.88</v>
      </c>
      <c r="H16" s="49">
        <v>55.89</v>
      </c>
      <c r="I16" s="49">
        <v>54.98</v>
      </c>
      <c r="K16" s="64"/>
      <c r="L16" s="64"/>
      <c r="M16" s="64"/>
    </row>
    <row r="17" spans="1:13" ht="13.8">
      <c r="A17" s="15" t="s">
        <v>34</v>
      </c>
      <c r="B17" s="49">
        <v>72.98</v>
      </c>
      <c r="C17" s="49">
        <v>107.15</v>
      </c>
      <c r="D17" s="49">
        <v>111.39</v>
      </c>
      <c r="E17" s="49">
        <v>90.52</v>
      </c>
      <c r="F17" s="49">
        <v>107.22</v>
      </c>
      <c r="G17" s="49">
        <v>64.28</v>
      </c>
      <c r="H17" s="49">
        <v>82</v>
      </c>
      <c r="I17" s="49">
        <v>81.84</v>
      </c>
      <c r="K17" s="64"/>
      <c r="L17" s="64"/>
      <c r="M17" s="64"/>
    </row>
    <row r="18" spans="1:13" ht="16.2">
      <c r="A18" s="15" t="s">
        <v>140</v>
      </c>
      <c r="B18" s="49">
        <v>65.260000000000005</v>
      </c>
      <c r="C18" s="49">
        <v>102.53</v>
      </c>
      <c r="D18" s="49">
        <v>80.11</v>
      </c>
      <c r="E18" s="49">
        <v>73.14</v>
      </c>
      <c r="F18" s="49">
        <v>93.52</v>
      </c>
      <c r="G18" s="49">
        <v>61.62</v>
      </c>
      <c r="H18" s="49">
        <v>84.25</v>
      </c>
      <c r="I18" s="49">
        <v>76.95</v>
      </c>
      <c r="K18" s="64"/>
      <c r="L18" s="64"/>
      <c r="M18" s="64"/>
    </row>
    <row r="19" spans="1:13" ht="16.2">
      <c r="A19" s="15" t="s">
        <v>141</v>
      </c>
      <c r="B19" s="49">
        <v>49</v>
      </c>
      <c r="C19" s="49">
        <v>82</v>
      </c>
      <c r="D19" s="49">
        <v>60</v>
      </c>
      <c r="E19" s="49">
        <v>55</v>
      </c>
      <c r="F19" s="49">
        <v>84</v>
      </c>
      <c r="G19" s="95">
        <v>47</v>
      </c>
      <c r="H19" s="95">
        <v>66</v>
      </c>
      <c r="I19" s="95">
        <v>55</v>
      </c>
      <c r="K19" s="64"/>
      <c r="L19" s="64"/>
      <c r="M19" s="64"/>
    </row>
    <row r="20" spans="1:13" ht="13.8">
      <c r="A20" s="15"/>
      <c r="B20" s="109"/>
      <c r="C20" s="109"/>
      <c r="D20" s="109"/>
      <c r="E20" s="109"/>
      <c r="F20" s="109"/>
      <c r="G20" s="109"/>
      <c r="H20" s="109"/>
      <c r="I20" s="109"/>
    </row>
    <row r="21" spans="1:13" ht="13.8">
      <c r="A21" s="31" t="s">
        <v>37</v>
      </c>
      <c r="B21" s="49"/>
      <c r="C21" s="49"/>
      <c r="D21" s="49"/>
      <c r="E21" s="49"/>
      <c r="F21" s="49"/>
      <c r="G21" s="49"/>
      <c r="H21" s="49"/>
      <c r="I21" s="49"/>
    </row>
    <row r="22" spans="1:13" ht="13.8">
      <c r="A22" s="15" t="s">
        <v>39</v>
      </c>
      <c r="B22" s="49">
        <v>72.67</v>
      </c>
      <c r="C22" s="49">
        <v>110.1875</v>
      </c>
      <c r="D22" s="49">
        <v>93.75</v>
      </c>
      <c r="E22" s="49">
        <v>80.125</v>
      </c>
      <c r="F22" s="49">
        <v>107.75</v>
      </c>
      <c r="G22" s="49">
        <v>65.412499999999994</v>
      </c>
      <c r="H22" s="49">
        <v>88</v>
      </c>
      <c r="I22" s="49">
        <v>88.5</v>
      </c>
      <c r="K22" s="64"/>
      <c r="M22" s="64"/>
    </row>
    <row r="23" spans="1:13" ht="13.8">
      <c r="A23" s="15" t="s">
        <v>40</v>
      </c>
      <c r="B23" s="49">
        <v>79.180000000000007</v>
      </c>
      <c r="C23" s="49">
        <v>116.6875</v>
      </c>
      <c r="D23" s="49">
        <v>106</v>
      </c>
      <c r="E23" s="49">
        <v>84.375</v>
      </c>
      <c r="F23" s="49">
        <v>111</v>
      </c>
      <c r="G23" s="49">
        <v>69.67</v>
      </c>
      <c r="H23" s="49" t="s">
        <v>78</v>
      </c>
      <c r="I23" s="49">
        <v>88.5</v>
      </c>
      <c r="K23" s="64"/>
      <c r="M23" s="64"/>
    </row>
    <row r="24" spans="1:13" ht="13.8">
      <c r="A24" s="15" t="s">
        <v>42</v>
      </c>
      <c r="B24" s="49">
        <v>68.14</v>
      </c>
      <c r="C24" s="49">
        <v>105.1</v>
      </c>
      <c r="D24" s="49">
        <v>92.3</v>
      </c>
      <c r="E24" s="49">
        <v>74.05</v>
      </c>
      <c r="F24" s="49">
        <v>101</v>
      </c>
      <c r="G24" s="49">
        <v>60</v>
      </c>
      <c r="H24" s="49" t="s">
        <v>78</v>
      </c>
      <c r="I24" s="49">
        <v>84</v>
      </c>
      <c r="K24" s="64"/>
      <c r="M24" s="64"/>
    </row>
    <row r="25" spans="1:13" ht="13.8">
      <c r="A25" s="15" t="s">
        <v>43</v>
      </c>
      <c r="B25" s="49">
        <v>66</v>
      </c>
      <c r="C25" s="49">
        <v>102.1875</v>
      </c>
      <c r="D25" s="49">
        <v>85.75</v>
      </c>
      <c r="E25" s="49">
        <v>71.1875</v>
      </c>
      <c r="F25" s="49">
        <v>95.375</v>
      </c>
      <c r="G25" s="49">
        <v>61</v>
      </c>
      <c r="H25" s="49">
        <v>87</v>
      </c>
      <c r="I25" s="49">
        <v>76.125</v>
      </c>
      <c r="K25" s="64"/>
      <c r="M25" s="64"/>
    </row>
    <row r="26" spans="1:13" ht="13.8">
      <c r="A26" s="15" t="s">
        <v>44</v>
      </c>
      <c r="B26" s="49">
        <v>63.242500000000007</v>
      </c>
      <c r="C26" s="49">
        <v>100</v>
      </c>
      <c r="D26" s="49">
        <v>81.25</v>
      </c>
      <c r="E26" s="49">
        <v>68.25</v>
      </c>
      <c r="F26" s="49">
        <v>88</v>
      </c>
      <c r="G26" s="49" t="s">
        <v>78</v>
      </c>
      <c r="H26" s="49" t="s">
        <v>78</v>
      </c>
      <c r="I26" s="49">
        <v>63.95</v>
      </c>
      <c r="K26" s="64"/>
      <c r="M26" s="64"/>
    </row>
    <row r="27" spans="1:13" ht="13.8">
      <c r="A27" s="15" t="s">
        <v>46</v>
      </c>
      <c r="B27" s="49">
        <v>58.83</v>
      </c>
      <c r="C27" s="49">
        <v>96.55</v>
      </c>
      <c r="D27" s="49">
        <v>76.599999999999994</v>
      </c>
      <c r="E27" s="49">
        <v>64.599999999999994</v>
      </c>
      <c r="F27" s="49">
        <v>84.4</v>
      </c>
      <c r="G27" s="49" t="s">
        <v>78</v>
      </c>
      <c r="H27" s="49" t="s">
        <v>78</v>
      </c>
      <c r="I27" s="49">
        <v>66.25</v>
      </c>
      <c r="K27" s="64"/>
      <c r="M27" s="64"/>
    </row>
    <row r="28" spans="1:13" ht="13.8">
      <c r="A28" s="15" t="s">
        <v>47</v>
      </c>
      <c r="B28" s="49">
        <v>55.474999999999994</v>
      </c>
      <c r="C28" s="49">
        <v>92.5625</v>
      </c>
      <c r="D28" s="49">
        <v>73</v>
      </c>
      <c r="E28" s="49">
        <v>62.625</v>
      </c>
      <c r="F28" s="49">
        <v>81.75</v>
      </c>
      <c r="G28" s="49" t="s">
        <v>78</v>
      </c>
      <c r="H28" s="49">
        <v>82</v>
      </c>
      <c r="I28" s="49" t="s">
        <v>78</v>
      </c>
      <c r="K28" s="64"/>
      <c r="M28" s="64"/>
    </row>
    <row r="29" spans="1:13" ht="13.8">
      <c r="A29" s="15" t="s">
        <v>48</v>
      </c>
      <c r="B29" s="49">
        <v>52.484999999999999</v>
      </c>
      <c r="C29" s="49">
        <v>91.75</v>
      </c>
      <c r="D29" s="49">
        <v>68.625</v>
      </c>
      <c r="E29" s="49">
        <v>62.125</v>
      </c>
      <c r="F29" s="49">
        <v>85.5</v>
      </c>
      <c r="G29" s="49">
        <v>52</v>
      </c>
      <c r="H29" s="49" t="s">
        <v>78</v>
      </c>
      <c r="I29" s="49" t="s">
        <v>78</v>
      </c>
      <c r="K29" s="64"/>
      <c r="M29" s="64"/>
    </row>
    <row r="30" spans="1:13" ht="13.8">
      <c r="A30" s="15" t="s">
        <v>50</v>
      </c>
      <c r="B30" s="49">
        <v>60.007999999999996</v>
      </c>
      <c r="C30" s="49">
        <v>97.85</v>
      </c>
      <c r="D30" s="49">
        <v>67</v>
      </c>
      <c r="E30" s="49">
        <v>71.849999999999994</v>
      </c>
      <c r="F30" s="49">
        <v>89.6</v>
      </c>
      <c r="G30" s="49" t="s">
        <v>78</v>
      </c>
      <c r="H30" s="49">
        <v>80</v>
      </c>
      <c r="I30" s="49">
        <v>74.59</v>
      </c>
      <c r="K30" s="64"/>
      <c r="M30" s="64"/>
    </row>
    <row r="31" spans="1:13" ht="13.8">
      <c r="A31" s="15" t="s">
        <v>51</v>
      </c>
      <c r="B31" s="49">
        <v>70.887499999999989</v>
      </c>
      <c r="C31" s="49">
        <v>107.75</v>
      </c>
      <c r="D31" s="49">
        <v>73.25</v>
      </c>
      <c r="E31" s="49">
        <v>83</v>
      </c>
      <c r="F31" s="49">
        <v>94.25</v>
      </c>
      <c r="G31" s="49" t="s">
        <v>78</v>
      </c>
      <c r="H31" s="49" t="s">
        <v>78</v>
      </c>
      <c r="I31" s="49">
        <v>74.625</v>
      </c>
      <c r="K31" s="64"/>
      <c r="M31" s="64"/>
    </row>
    <row r="32" spans="1:13" ht="13.8">
      <c r="A32" s="15" t="s">
        <v>52</v>
      </c>
      <c r="B32" s="49">
        <v>70.966999999999999</v>
      </c>
      <c r="C32" s="49">
        <v>108.19</v>
      </c>
      <c r="D32" s="49">
        <v>72.69</v>
      </c>
      <c r="E32" s="49">
        <v>81.69</v>
      </c>
      <c r="F32" s="49">
        <v>95.25</v>
      </c>
      <c r="G32" s="49" t="s">
        <v>78</v>
      </c>
      <c r="H32" s="49" t="s">
        <v>78</v>
      </c>
      <c r="I32" s="49">
        <v>76.7</v>
      </c>
      <c r="K32" s="64"/>
      <c r="M32" s="64"/>
    </row>
    <row r="33" spans="1:13" ht="13.8">
      <c r="A33" s="15" t="s">
        <v>38</v>
      </c>
      <c r="B33" s="49">
        <v>65.227999999999994</v>
      </c>
      <c r="C33" s="49">
        <v>101.5</v>
      </c>
      <c r="D33" s="49">
        <v>71.099999999999994</v>
      </c>
      <c r="E33" s="49">
        <v>73.75</v>
      </c>
      <c r="F33" s="49">
        <v>88.4</v>
      </c>
      <c r="G33" s="49" t="s">
        <v>78</v>
      </c>
      <c r="H33" s="49" t="s">
        <v>78</v>
      </c>
      <c r="I33" s="49">
        <v>76.25</v>
      </c>
      <c r="K33" s="64"/>
      <c r="M33" s="64"/>
    </row>
    <row r="34" spans="1:13" ht="13.8">
      <c r="A34" s="15"/>
      <c r="B34" s="49"/>
      <c r="C34" s="49"/>
      <c r="D34" s="49"/>
      <c r="E34" s="49"/>
      <c r="F34" s="49"/>
      <c r="G34" s="49"/>
      <c r="H34" s="49"/>
      <c r="I34" s="49"/>
      <c r="K34" s="64"/>
      <c r="M34" s="64"/>
    </row>
    <row r="35" spans="1:13" ht="13.8">
      <c r="A35" s="31" t="s">
        <v>54</v>
      </c>
      <c r="B35" s="49"/>
      <c r="C35" s="49"/>
      <c r="D35" s="49"/>
      <c r="E35" s="49"/>
      <c r="F35" s="49"/>
      <c r="G35" s="49"/>
      <c r="H35" s="49"/>
      <c r="I35" s="49"/>
      <c r="K35" s="64"/>
      <c r="M35" s="64"/>
    </row>
    <row r="36" spans="1:13" ht="13.8">
      <c r="A36" s="15" t="s">
        <v>39</v>
      </c>
      <c r="B36" s="49">
        <v>56.599999999999994</v>
      </c>
      <c r="C36" s="49">
        <v>92</v>
      </c>
      <c r="D36" s="49">
        <v>64.75</v>
      </c>
      <c r="E36" s="49">
        <v>65.1875</v>
      </c>
      <c r="F36" s="49">
        <v>83.25</v>
      </c>
      <c r="G36" s="49" t="s">
        <v>78</v>
      </c>
      <c r="H36" s="95">
        <v>90</v>
      </c>
      <c r="I36" s="49">
        <v>65.17</v>
      </c>
      <c r="K36" s="64"/>
      <c r="M36" s="64"/>
    </row>
    <row r="37" spans="1:13" ht="13.8">
      <c r="A37" s="15" t="s">
        <v>40</v>
      </c>
      <c r="B37" s="49">
        <v>53.39</v>
      </c>
      <c r="C37" s="49">
        <v>86.38</v>
      </c>
      <c r="D37" s="49">
        <v>62.25</v>
      </c>
      <c r="E37" s="49">
        <v>61.63</v>
      </c>
      <c r="F37" s="49">
        <v>81.5</v>
      </c>
      <c r="G37" s="49" t="s">
        <v>78</v>
      </c>
      <c r="H37" s="95" t="s">
        <v>78</v>
      </c>
      <c r="I37" s="49">
        <v>57.024999999999999</v>
      </c>
      <c r="K37" s="64"/>
      <c r="M37" s="64"/>
    </row>
    <row r="38" spans="1:13" ht="13.8">
      <c r="A38" s="15" t="s">
        <v>42</v>
      </c>
      <c r="B38" s="49">
        <v>52.33</v>
      </c>
      <c r="C38" s="49">
        <v>83.1</v>
      </c>
      <c r="D38" s="49">
        <v>58.6</v>
      </c>
      <c r="E38" s="49">
        <v>59.45</v>
      </c>
      <c r="F38" s="49">
        <v>77.8</v>
      </c>
      <c r="G38" s="49" t="s">
        <v>78</v>
      </c>
      <c r="H38" s="95">
        <v>65</v>
      </c>
      <c r="I38" s="49">
        <v>50.67</v>
      </c>
      <c r="K38" s="64"/>
      <c r="M38" s="64"/>
    </row>
    <row r="39" spans="1:13" ht="13.8">
      <c r="A39" s="15" t="s">
        <v>43</v>
      </c>
      <c r="B39" s="49">
        <v>49.1</v>
      </c>
      <c r="C39" s="49">
        <v>79.5</v>
      </c>
      <c r="D39" s="49">
        <v>58.13</v>
      </c>
      <c r="E39" s="49">
        <v>57.25</v>
      </c>
      <c r="F39" s="49">
        <v>76.5</v>
      </c>
      <c r="G39" s="49" t="s">
        <v>78</v>
      </c>
      <c r="H39" s="95" t="s">
        <v>78</v>
      </c>
      <c r="I39" s="49" t="s">
        <v>78</v>
      </c>
      <c r="K39" s="64"/>
      <c r="M39" s="64"/>
    </row>
    <row r="40" spans="1:13" ht="13.8">
      <c r="A40" s="15" t="s">
        <v>44</v>
      </c>
      <c r="B40" s="49">
        <v>47.327500000000001</v>
      </c>
      <c r="C40" s="49">
        <v>76.5</v>
      </c>
      <c r="D40" s="49">
        <v>57.38</v>
      </c>
      <c r="E40" s="49">
        <v>53.06</v>
      </c>
      <c r="F40" s="49">
        <v>76.75</v>
      </c>
      <c r="G40" s="49" t="s">
        <v>78</v>
      </c>
      <c r="H40" s="95">
        <v>45.33</v>
      </c>
      <c r="I40" s="49">
        <v>52.5</v>
      </c>
      <c r="K40" s="64"/>
      <c r="M40" s="64"/>
    </row>
    <row r="41" spans="1:13" ht="16.2">
      <c r="A41" s="82" t="s">
        <v>142</v>
      </c>
      <c r="B41" s="128"/>
      <c r="C41" s="128"/>
      <c r="D41" s="128"/>
      <c r="E41" s="128"/>
      <c r="F41" s="128"/>
      <c r="G41" s="128"/>
      <c r="H41" s="128"/>
      <c r="I41" s="129"/>
    </row>
    <row r="42" spans="1:13" ht="16.2">
      <c r="A42" s="15" t="s">
        <v>143</v>
      </c>
      <c r="B42" s="62"/>
      <c r="C42" s="62"/>
      <c r="D42" s="62"/>
      <c r="E42" s="62"/>
      <c r="F42" s="62"/>
      <c r="G42" s="62"/>
      <c r="H42" s="62"/>
      <c r="I42" s="62"/>
    </row>
    <row r="43" spans="1:13" ht="14.4">
      <c r="A43" s="15" t="s">
        <v>144</v>
      </c>
      <c r="B43" s="15"/>
      <c r="C43" s="15"/>
      <c r="D43" s="15"/>
      <c r="E43" s="15"/>
      <c r="F43" s="62"/>
      <c r="G43" s="15"/>
      <c r="H43" s="15"/>
      <c r="I43" s="15"/>
    </row>
    <row r="44" spans="1:13" ht="13.8">
      <c r="A44" s="20" t="s">
        <v>57</v>
      </c>
      <c r="B44" s="37">
        <f>Contents!A16</f>
        <v>45363</v>
      </c>
      <c r="C44" s="15"/>
      <c r="D44" s="15"/>
      <c r="E44" s="15"/>
      <c r="F44" s="15"/>
      <c r="G44" s="15"/>
      <c r="H44" s="15"/>
      <c r="I44" s="15"/>
    </row>
    <row r="45" spans="1:13" ht="15.6">
      <c r="C45" s="63"/>
      <c r="G45" s="63"/>
      <c r="H45" s="63"/>
      <c r="I45" s="63"/>
    </row>
    <row r="46" spans="1:13" ht="15.6">
      <c r="B46" s="64"/>
      <c r="C46" s="64"/>
      <c r="D46" s="64"/>
      <c r="E46" s="64"/>
      <c r="F46" s="64"/>
      <c r="G46" s="64"/>
      <c r="H46" s="63"/>
      <c r="I46" s="63"/>
    </row>
    <row r="47" spans="1:13" ht="15.6">
      <c r="B47" s="88"/>
      <c r="C47" s="88"/>
      <c r="D47" s="88"/>
      <c r="E47" s="88"/>
      <c r="F47" s="88"/>
      <c r="G47" s="88"/>
      <c r="H47" s="63"/>
      <c r="I47" s="63"/>
    </row>
    <row r="48" spans="1:13" ht="15.6">
      <c r="C48" s="63"/>
      <c r="G48" s="63"/>
      <c r="H48" s="63"/>
      <c r="I48" s="63"/>
    </row>
    <row r="49" spans="3:9" ht="15.6">
      <c r="C49" s="63"/>
      <c r="G49" s="63"/>
      <c r="H49" s="63"/>
      <c r="I49" s="63"/>
    </row>
    <row r="50" spans="3:9" ht="15.6">
      <c r="C50" s="63"/>
      <c r="G50" s="63"/>
      <c r="H50" s="63"/>
      <c r="I50" s="63"/>
    </row>
    <row r="51" spans="3:9" ht="15.6">
      <c r="C51" s="63"/>
      <c r="G51" s="63"/>
      <c r="H51" s="63"/>
      <c r="I51" s="63"/>
    </row>
    <row r="52" spans="3:9" ht="15.6">
      <c r="C52" s="63"/>
      <c r="G52" s="63"/>
      <c r="H52" s="63"/>
      <c r="I52" s="63"/>
    </row>
    <row r="53" spans="3:9" ht="15.6">
      <c r="C53" s="63"/>
      <c r="G53" s="63"/>
      <c r="H53" s="63"/>
      <c r="I53" s="63"/>
    </row>
    <row r="54" spans="3:9" ht="15.6">
      <c r="C54" s="63"/>
      <c r="G54" s="63"/>
      <c r="H54" s="63"/>
      <c r="I54" s="63"/>
    </row>
    <row r="55" spans="3:9" ht="15.6">
      <c r="C55" s="63"/>
      <c r="G55" s="63"/>
      <c r="H55" s="63"/>
      <c r="I55" s="63"/>
    </row>
    <row r="56" spans="3:9" ht="15.6">
      <c r="C56" s="63"/>
      <c r="G56" s="63"/>
      <c r="H56" s="63"/>
      <c r="I56" s="63"/>
    </row>
    <row r="57" spans="3:9" ht="15.6">
      <c r="C57" s="63"/>
      <c r="G57" s="63"/>
      <c r="H57" s="63"/>
      <c r="I57" s="63"/>
    </row>
    <row r="58" spans="3:9" ht="15.6">
      <c r="C58" s="63"/>
      <c r="G58" s="63"/>
      <c r="H58" s="63"/>
      <c r="I58" s="63"/>
    </row>
    <row r="59" spans="3:9" ht="15.6">
      <c r="C59" s="63"/>
      <c r="G59" s="63"/>
      <c r="H59" s="63"/>
      <c r="I59" s="63"/>
    </row>
    <row r="60" spans="3:9" ht="15.6">
      <c r="C60" s="63"/>
      <c r="G60" s="63"/>
      <c r="H60" s="63"/>
      <c r="I60" s="63"/>
    </row>
    <row r="61" spans="3:9" ht="15.6">
      <c r="C61" s="63"/>
      <c r="H61" s="63"/>
      <c r="I61" s="63"/>
    </row>
    <row r="62" spans="3:9" ht="15.6">
      <c r="C62" s="63"/>
      <c r="H62" s="63"/>
      <c r="I62" s="63"/>
    </row>
    <row r="63" spans="3:9" ht="15.6">
      <c r="C63" s="63"/>
      <c r="F63" s="64"/>
      <c r="H63" s="63"/>
      <c r="I63" s="63"/>
    </row>
    <row r="64" spans="3:9" ht="15.6">
      <c r="F64" s="64"/>
      <c r="H64" s="63"/>
      <c r="I64" s="63"/>
    </row>
  </sheetData>
  <phoneticPr fontId="40" type="noConversion"/>
  <pageMargins left="0.75" right="0.75" top="1" bottom="1" header="0.5" footer="0.5"/>
  <pageSetup scale="83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B54"/>
  <sheetViews>
    <sheetView showGridLines="0" zoomScale="70" zoomScaleNormal="70" workbookViewId="0">
      <pane xSplit="1" ySplit="4" topLeftCell="B16" activePane="bottomRight" state="frozen"/>
      <selection activeCell="I39" sqref="I39"/>
      <selection pane="topRight" activeCell="I39" sqref="I39"/>
      <selection pane="bottomLeft" activeCell="I39" sqref="I39"/>
      <selection pane="bottomRight"/>
    </sheetView>
  </sheetViews>
  <sheetFormatPr defaultColWidth="9.109375" defaultRowHeight="13.2"/>
  <cols>
    <col min="1" max="1" width="11.6640625" customWidth="1"/>
    <col min="2" max="7" width="13.6640625" customWidth="1"/>
    <col min="8" max="8" width="12.44140625" bestFit="1" customWidth="1"/>
    <col min="9" max="9" width="11.44140625" customWidth="1"/>
    <col min="11" max="11" width="8.88671875" customWidth="1"/>
    <col min="12" max="12" width="18" bestFit="1" customWidth="1"/>
  </cols>
  <sheetData>
    <row r="1" spans="1:28" ht="13.8">
      <c r="A1" s="14" t="s">
        <v>10</v>
      </c>
      <c r="B1" s="14"/>
      <c r="C1" s="14"/>
      <c r="D1" s="14"/>
      <c r="E1" s="14"/>
      <c r="F1" s="14"/>
      <c r="G1" s="14"/>
    </row>
    <row r="2" spans="1:28" ht="15.6" customHeight="1">
      <c r="A2" s="15" t="s">
        <v>98</v>
      </c>
      <c r="B2" s="17" t="s">
        <v>125</v>
      </c>
      <c r="C2" s="65" t="s">
        <v>126</v>
      </c>
      <c r="D2" s="65" t="s">
        <v>127</v>
      </c>
      <c r="E2" s="65" t="s">
        <v>129</v>
      </c>
      <c r="F2" s="17" t="s">
        <v>145</v>
      </c>
      <c r="G2" s="17" t="s">
        <v>146</v>
      </c>
      <c r="AB2" s="66"/>
    </row>
    <row r="3" spans="1:28" ht="15.6" customHeight="1">
      <c r="A3" s="14" t="s">
        <v>105</v>
      </c>
      <c r="B3" s="23" t="s">
        <v>147</v>
      </c>
      <c r="C3" s="23" t="s">
        <v>148</v>
      </c>
      <c r="D3" s="23" t="s">
        <v>149</v>
      </c>
      <c r="E3" s="23" t="s">
        <v>150</v>
      </c>
      <c r="F3" s="23" t="s">
        <v>151</v>
      </c>
      <c r="G3" s="23" t="s">
        <v>152</v>
      </c>
      <c r="AB3" s="66"/>
    </row>
    <row r="4" spans="1:28" ht="14.4">
      <c r="A4" s="59" t="s">
        <v>153</v>
      </c>
      <c r="C4" s="60"/>
      <c r="D4" s="60"/>
      <c r="E4" s="60"/>
      <c r="F4" s="60"/>
      <c r="G4" s="60"/>
      <c r="AB4" s="66"/>
    </row>
    <row r="5" spans="1:28" ht="13.8">
      <c r="A5" s="15"/>
      <c r="B5" s="15"/>
      <c r="C5" s="15"/>
      <c r="D5" s="15"/>
      <c r="E5" s="15"/>
      <c r="F5" s="15"/>
      <c r="G5" s="15"/>
      <c r="AB5" s="66"/>
    </row>
    <row r="6" spans="1:28" ht="13.8">
      <c r="A6" s="15" t="s">
        <v>110</v>
      </c>
      <c r="B6" s="61">
        <v>345.52</v>
      </c>
      <c r="C6" s="61">
        <v>273.83999999999997</v>
      </c>
      <c r="D6" s="61">
        <v>219.72</v>
      </c>
      <c r="E6" s="53" t="s">
        <v>78</v>
      </c>
      <c r="F6" s="61">
        <v>263.63</v>
      </c>
      <c r="G6" s="61">
        <v>240.65</v>
      </c>
      <c r="H6" s="64"/>
      <c r="I6" s="64"/>
      <c r="AB6" s="66"/>
    </row>
    <row r="7" spans="1:28" ht="13.8">
      <c r="A7" s="15" t="s">
        <v>111</v>
      </c>
      <c r="B7" s="61">
        <v>393.53</v>
      </c>
      <c r="C7" s="61">
        <v>275.13</v>
      </c>
      <c r="D7" s="61">
        <v>246.75</v>
      </c>
      <c r="E7" s="53" t="s">
        <v>78</v>
      </c>
      <c r="F7" s="61">
        <v>307.58999999999997</v>
      </c>
      <c r="G7" s="61">
        <v>265.68</v>
      </c>
      <c r="H7" s="64"/>
      <c r="I7" s="64"/>
      <c r="AB7" s="66"/>
    </row>
    <row r="8" spans="1:28" ht="13.8">
      <c r="A8" s="15" t="s">
        <v>112</v>
      </c>
      <c r="B8" s="61">
        <v>468.11</v>
      </c>
      <c r="C8" s="61">
        <v>331.52</v>
      </c>
      <c r="D8" s="61">
        <v>241.57</v>
      </c>
      <c r="E8" s="53" t="s">
        <v>78</v>
      </c>
      <c r="F8" s="61">
        <v>354.22</v>
      </c>
      <c r="G8" s="61">
        <v>329.31</v>
      </c>
      <c r="H8" s="64"/>
      <c r="I8" s="64"/>
      <c r="AB8" s="66"/>
    </row>
    <row r="9" spans="1:28" ht="13.8">
      <c r="A9" s="15" t="s">
        <v>113</v>
      </c>
      <c r="B9" s="61">
        <v>489.94</v>
      </c>
      <c r="C9" s="61">
        <v>377.71</v>
      </c>
      <c r="D9" s="61">
        <v>238.87</v>
      </c>
      <c r="E9" s="53" t="s">
        <v>78</v>
      </c>
      <c r="F9" s="61">
        <v>359.7</v>
      </c>
      <c r="G9" s="61">
        <v>337.23</v>
      </c>
      <c r="H9" s="64"/>
      <c r="I9" s="64"/>
      <c r="AB9" s="66"/>
    </row>
    <row r="10" spans="1:28" ht="13.8">
      <c r="A10" s="15" t="s">
        <v>114</v>
      </c>
      <c r="B10" s="61">
        <v>368.49</v>
      </c>
      <c r="C10" s="61">
        <v>304.27</v>
      </c>
      <c r="D10" s="61">
        <v>209.97</v>
      </c>
      <c r="E10" s="53" t="s">
        <v>78</v>
      </c>
      <c r="F10" s="61">
        <v>301.2</v>
      </c>
      <c r="G10" s="61">
        <v>256.58</v>
      </c>
      <c r="H10" s="64"/>
      <c r="I10" s="64"/>
      <c r="AB10" s="66"/>
    </row>
    <row r="11" spans="1:28" ht="13.8">
      <c r="A11" s="15" t="s">
        <v>115</v>
      </c>
      <c r="B11" s="61">
        <v>324.56</v>
      </c>
      <c r="C11" s="61">
        <v>261.19</v>
      </c>
      <c r="D11" s="61">
        <v>153.16999999999999</v>
      </c>
      <c r="E11" s="53" t="s">
        <v>78</v>
      </c>
      <c r="F11" s="61">
        <v>262.2</v>
      </c>
      <c r="G11" s="61">
        <v>260.23</v>
      </c>
      <c r="H11" s="64"/>
      <c r="I11" s="64"/>
      <c r="AB11" s="66"/>
    </row>
    <row r="12" spans="1:28" ht="13.8">
      <c r="A12" s="15" t="s">
        <v>116</v>
      </c>
      <c r="B12" s="61">
        <v>316.88</v>
      </c>
      <c r="C12" s="61">
        <v>208.61</v>
      </c>
      <c r="D12" s="61">
        <v>145.1</v>
      </c>
      <c r="E12" s="53" t="s">
        <v>78</v>
      </c>
      <c r="F12" s="61">
        <v>267.94</v>
      </c>
      <c r="G12" s="61">
        <v>282.49</v>
      </c>
      <c r="H12" s="64"/>
      <c r="I12" s="64"/>
      <c r="AB12" s="66"/>
    </row>
    <row r="13" spans="1:28" ht="13.8">
      <c r="A13" s="15" t="s">
        <v>117</v>
      </c>
      <c r="B13" s="61">
        <v>345.02</v>
      </c>
      <c r="C13" s="61">
        <v>260.88</v>
      </c>
      <c r="D13" s="61">
        <v>173.53</v>
      </c>
      <c r="E13" s="53" t="s">
        <v>78</v>
      </c>
      <c r="F13" s="61">
        <v>291.14999999999998</v>
      </c>
      <c r="G13" s="61">
        <v>239.15</v>
      </c>
      <c r="H13" s="64"/>
      <c r="I13" s="64"/>
    </row>
    <row r="14" spans="1:28" ht="13.8">
      <c r="A14" s="15" t="s">
        <v>118</v>
      </c>
      <c r="B14" s="61">
        <v>308.27999999999997</v>
      </c>
      <c r="C14" s="61">
        <v>228.64</v>
      </c>
      <c r="D14" s="61">
        <v>164.16</v>
      </c>
      <c r="E14" s="53" t="s">
        <v>78</v>
      </c>
      <c r="F14" s="61">
        <v>272.38</v>
      </c>
      <c r="G14" s="61">
        <v>225.77</v>
      </c>
      <c r="H14" s="64"/>
      <c r="I14" s="64"/>
    </row>
    <row r="15" spans="1:28" ht="13.8">
      <c r="A15" s="15" t="s">
        <v>119</v>
      </c>
      <c r="B15" s="61">
        <v>299.5</v>
      </c>
      <c r="C15" s="61">
        <v>247.04</v>
      </c>
      <c r="D15" s="61">
        <v>187.7</v>
      </c>
      <c r="E15" s="53" t="s">
        <v>78</v>
      </c>
      <c r="F15" s="61">
        <v>273.99</v>
      </c>
      <c r="G15" s="61">
        <v>245.88</v>
      </c>
      <c r="H15" s="64"/>
      <c r="I15" s="64"/>
    </row>
    <row r="16" spans="1:28" ht="13.8">
      <c r="A16" s="15" t="s">
        <v>120</v>
      </c>
      <c r="B16" s="61">
        <v>392.31</v>
      </c>
      <c r="C16" s="61">
        <v>375.51</v>
      </c>
      <c r="D16" s="92">
        <v>246.22</v>
      </c>
      <c r="E16" s="53" t="s">
        <v>78</v>
      </c>
      <c r="F16" s="61">
        <v>351.87</v>
      </c>
      <c r="G16" s="61">
        <v>288.12</v>
      </c>
      <c r="H16" s="64"/>
      <c r="I16" s="64"/>
    </row>
    <row r="17" spans="1:13" ht="13.8">
      <c r="A17" s="15" t="s">
        <v>34</v>
      </c>
      <c r="B17" s="61">
        <v>439.81</v>
      </c>
      <c r="C17" s="61">
        <v>355.33</v>
      </c>
      <c r="D17" s="61">
        <v>279.98</v>
      </c>
      <c r="E17" s="53" t="s">
        <v>78</v>
      </c>
      <c r="F17" s="61">
        <v>439.1</v>
      </c>
      <c r="G17" s="61">
        <v>332.21</v>
      </c>
      <c r="H17" s="64"/>
      <c r="I17" s="64"/>
    </row>
    <row r="18" spans="1:13" ht="16.2">
      <c r="A18" s="15" t="s">
        <v>140</v>
      </c>
      <c r="B18" s="61">
        <v>451.91</v>
      </c>
      <c r="C18" s="61">
        <v>379.13</v>
      </c>
      <c r="D18" s="61">
        <v>244.34</v>
      </c>
      <c r="E18" s="53" t="s">
        <v>78</v>
      </c>
      <c r="F18" s="61">
        <v>431.34</v>
      </c>
      <c r="G18" s="92">
        <v>359.06</v>
      </c>
      <c r="H18" s="64"/>
      <c r="I18" s="64"/>
    </row>
    <row r="19" spans="1:13" ht="16.2">
      <c r="A19" s="15" t="s">
        <v>141</v>
      </c>
      <c r="B19" s="61">
        <v>380</v>
      </c>
      <c r="C19" s="61">
        <v>340</v>
      </c>
      <c r="D19" s="61">
        <v>235</v>
      </c>
      <c r="E19" s="53" t="s">
        <v>78</v>
      </c>
      <c r="F19" s="61">
        <v>360</v>
      </c>
      <c r="G19" s="92">
        <v>325</v>
      </c>
      <c r="H19" s="64"/>
      <c r="I19" s="64"/>
    </row>
    <row r="20" spans="1:13" ht="13.8">
      <c r="A20" s="15"/>
      <c r="B20" s="61"/>
      <c r="C20" s="61"/>
      <c r="D20" s="61"/>
      <c r="E20" s="53"/>
      <c r="F20" s="61"/>
      <c r="G20" s="61"/>
      <c r="I20" s="67"/>
      <c r="J20" s="68"/>
      <c r="K20" s="68"/>
      <c r="L20" s="68"/>
      <c r="M20" s="68"/>
    </row>
    <row r="21" spans="1:13" ht="13.8">
      <c r="A21" s="31" t="s">
        <v>37</v>
      </c>
      <c r="B21" s="92"/>
      <c r="C21" s="61"/>
      <c r="D21" s="61"/>
      <c r="E21" s="53"/>
      <c r="F21" s="61"/>
      <c r="G21" s="61"/>
      <c r="H21" s="49"/>
    </row>
    <row r="22" spans="1:13" ht="13.8">
      <c r="A22" s="15" t="s">
        <v>39</v>
      </c>
      <c r="B22" s="92">
        <v>468.67499999999995</v>
      </c>
      <c r="C22" s="61">
        <v>451.875</v>
      </c>
      <c r="D22" s="61" t="s">
        <v>78</v>
      </c>
      <c r="E22" s="53" t="s">
        <v>78</v>
      </c>
      <c r="F22" s="61">
        <v>409.17499999999995</v>
      </c>
      <c r="G22" s="61" t="s">
        <v>78</v>
      </c>
      <c r="H22" s="49"/>
      <c r="I22" s="64"/>
    </row>
    <row r="23" spans="1:13" ht="13.8">
      <c r="A23" s="15" t="s">
        <v>40</v>
      </c>
      <c r="B23" s="92">
        <v>436.74999999999994</v>
      </c>
      <c r="C23" s="61">
        <v>405</v>
      </c>
      <c r="D23" s="61" t="s">
        <v>78</v>
      </c>
      <c r="E23" s="53" t="s">
        <v>78</v>
      </c>
      <c r="F23" s="61">
        <v>402.99999999999994</v>
      </c>
      <c r="G23" s="61">
        <v>357.5</v>
      </c>
      <c r="H23" s="49"/>
      <c r="I23" s="64"/>
    </row>
    <row r="24" spans="1:13" ht="13.8">
      <c r="A24" s="15" t="s">
        <v>42</v>
      </c>
      <c r="B24" s="92">
        <v>462.85</v>
      </c>
      <c r="C24" s="61">
        <v>390.625</v>
      </c>
      <c r="D24" s="61">
        <v>200</v>
      </c>
      <c r="E24" s="53" t="s">
        <v>78</v>
      </c>
      <c r="F24" s="61">
        <v>437.09999999999997</v>
      </c>
      <c r="G24" s="61">
        <v>368.5</v>
      </c>
      <c r="H24" s="49"/>
      <c r="I24" s="64"/>
    </row>
    <row r="25" spans="1:13" ht="13.8">
      <c r="A25" s="15" t="s">
        <v>43</v>
      </c>
      <c r="B25" s="92">
        <v>482.40000000000003</v>
      </c>
      <c r="C25" s="61">
        <v>386.25</v>
      </c>
      <c r="D25" s="61">
        <v>355</v>
      </c>
      <c r="E25" s="53" t="s">
        <v>78</v>
      </c>
      <c r="F25" s="61">
        <v>474.02500000000003</v>
      </c>
      <c r="G25" s="61">
        <v>397.5</v>
      </c>
      <c r="H25" s="49"/>
      <c r="I25" s="64"/>
    </row>
    <row r="26" spans="1:13" ht="13.8">
      <c r="A26" s="15" t="s">
        <v>44</v>
      </c>
      <c r="B26" s="92">
        <v>500.52499999999998</v>
      </c>
      <c r="C26" s="61">
        <v>392.5</v>
      </c>
      <c r="D26" s="61">
        <v>336.25</v>
      </c>
      <c r="E26" s="53" t="s">
        <v>78</v>
      </c>
      <c r="F26" s="61">
        <v>501.02499999999998</v>
      </c>
      <c r="G26" s="61">
        <v>412.5</v>
      </c>
      <c r="H26" s="49"/>
      <c r="I26" s="64"/>
    </row>
    <row r="27" spans="1:13" ht="13.8">
      <c r="A27" s="15" t="s">
        <v>46</v>
      </c>
      <c r="B27" s="92">
        <v>484.4</v>
      </c>
      <c r="C27" s="61">
        <v>386.25</v>
      </c>
      <c r="D27" s="61">
        <v>308</v>
      </c>
      <c r="E27" s="53" t="s">
        <v>78</v>
      </c>
      <c r="F27" s="61">
        <v>466.6</v>
      </c>
      <c r="G27" s="61">
        <v>380.4</v>
      </c>
      <c r="H27" s="49"/>
      <c r="I27" s="64"/>
    </row>
    <row r="28" spans="1:13" ht="13.8">
      <c r="A28" s="15" t="s">
        <v>47</v>
      </c>
      <c r="B28" s="92">
        <v>457.25</v>
      </c>
      <c r="C28" s="61">
        <v>364.375</v>
      </c>
      <c r="D28" s="61">
        <v>252.5</v>
      </c>
      <c r="E28" s="53" t="s">
        <v>78</v>
      </c>
      <c r="F28" s="61">
        <v>434.75</v>
      </c>
      <c r="G28" s="61">
        <v>352.5</v>
      </c>
      <c r="H28" s="49"/>
      <c r="I28" s="64"/>
    </row>
    <row r="29" spans="1:13" ht="13.8">
      <c r="A29" s="15" t="s">
        <v>48</v>
      </c>
      <c r="B29" s="92">
        <v>423.57499999999999</v>
      </c>
      <c r="C29" s="61">
        <v>370.625</v>
      </c>
      <c r="D29" s="61">
        <v>237.5</v>
      </c>
      <c r="E29" s="53" t="s">
        <v>78</v>
      </c>
      <c r="F29" s="61">
        <v>407.02500000000003</v>
      </c>
      <c r="G29" s="61">
        <v>352.5</v>
      </c>
      <c r="H29" s="49"/>
      <c r="I29" s="64"/>
    </row>
    <row r="30" spans="1:13" ht="13.8">
      <c r="A30" s="15" t="s">
        <v>50</v>
      </c>
      <c r="B30" s="92">
        <v>413.46000000000004</v>
      </c>
      <c r="C30" s="61">
        <v>362.5</v>
      </c>
      <c r="D30" s="61">
        <v>208.00200000000001</v>
      </c>
      <c r="E30" s="53" t="s">
        <v>78</v>
      </c>
      <c r="F30" s="61">
        <v>405.06000000000006</v>
      </c>
      <c r="G30" s="61">
        <v>354</v>
      </c>
      <c r="H30" s="49"/>
      <c r="I30" s="64"/>
    </row>
    <row r="31" spans="1:13" ht="13.8">
      <c r="A31" s="15" t="s">
        <v>51</v>
      </c>
      <c r="B31" s="92">
        <v>443.15</v>
      </c>
      <c r="C31" s="61">
        <v>347.5</v>
      </c>
      <c r="D31" s="61">
        <v>159.16749999999999</v>
      </c>
      <c r="E31" s="53" t="s">
        <v>78</v>
      </c>
      <c r="F31" s="61">
        <v>432.1</v>
      </c>
      <c r="G31" s="61">
        <v>335</v>
      </c>
      <c r="H31" s="49"/>
      <c r="I31" s="64"/>
    </row>
    <row r="32" spans="1:13" ht="13.8">
      <c r="A32" s="15" t="s">
        <v>52</v>
      </c>
      <c r="B32" s="92">
        <v>438.8</v>
      </c>
      <c r="C32" s="61">
        <v>348.33</v>
      </c>
      <c r="D32" s="61">
        <v>185</v>
      </c>
      <c r="E32" s="53" t="s">
        <v>78</v>
      </c>
      <c r="F32" s="61">
        <v>412.9</v>
      </c>
      <c r="G32" s="61">
        <v>321.25</v>
      </c>
      <c r="H32" s="49"/>
      <c r="I32" s="64"/>
    </row>
    <row r="33" spans="1:10" ht="13.8">
      <c r="A33" s="15" t="s">
        <v>38</v>
      </c>
      <c r="B33" s="92">
        <v>411.07</v>
      </c>
      <c r="C33" s="61">
        <v>343.75</v>
      </c>
      <c r="D33" s="61">
        <v>202</v>
      </c>
      <c r="E33" s="53" t="s">
        <v>78</v>
      </c>
      <c r="F33" s="61">
        <v>393.26</v>
      </c>
      <c r="G33" s="61">
        <v>318</v>
      </c>
      <c r="H33" s="49"/>
      <c r="I33" s="64"/>
    </row>
    <row r="34" spans="1:10" ht="13.8">
      <c r="A34" s="15"/>
      <c r="B34" s="92"/>
      <c r="C34" s="61"/>
      <c r="D34" s="61"/>
      <c r="E34" s="53"/>
      <c r="F34" s="61"/>
      <c r="G34" s="61"/>
      <c r="H34" s="49"/>
      <c r="I34" s="64"/>
    </row>
    <row r="35" spans="1:10" ht="13.8">
      <c r="A35" s="31" t="s">
        <v>54</v>
      </c>
      <c r="B35" s="92"/>
      <c r="C35" s="61"/>
      <c r="D35" s="61"/>
      <c r="E35" s="53"/>
      <c r="F35" s="61"/>
      <c r="G35" s="61"/>
      <c r="H35" s="49"/>
      <c r="I35" s="64"/>
    </row>
    <row r="36" spans="1:10" ht="13.8">
      <c r="A36" s="15" t="s">
        <v>39</v>
      </c>
      <c r="B36" s="92">
        <v>416.16</v>
      </c>
      <c r="C36" s="61">
        <v>348.75</v>
      </c>
      <c r="D36" s="61">
        <v>229.16500000000002</v>
      </c>
      <c r="E36" s="53" t="s">
        <v>78</v>
      </c>
      <c r="F36" s="61">
        <v>407.1</v>
      </c>
      <c r="G36" s="61">
        <v>325</v>
      </c>
      <c r="H36" s="49"/>
      <c r="I36" s="64"/>
    </row>
    <row r="37" spans="1:10" ht="13.8">
      <c r="A37" s="15" t="s">
        <v>40</v>
      </c>
      <c r="B37" s="92">
        <v>464.27</v>
      </c>
      <c r="C37" s="61">
        <v>350</v>
      </c>
      <c r="D37" s="61">
        <v>266.67</v>
      </c>
      <c r="E37" s="53" t="s">
        <v>78</v>
      </c>
      <c r="F37" s="61">
        <v>441.77</v>
      </c>
      <c r="G37" s="92">
        <v>348.33</v>
      </c>
      <c r="H37" s="49"/>
      <c r="I37" s="64"/>
    </row>
    <row r="38" spans="1:10" ht="13.8">
      <c r="A38" s="15" t="s">
        <v>42</v>
      </c>
      <c r="B38" s="92">
        <v>440.6</v>
      </c>
      <c r="C38" s="61">
        <v>358.75</v>
      </c>
      <c r="D38" s="61">
        <v>270</v>
      </c>
      <c r="E38" s="53" t="s">
        <v>78</v>
      </c>
      <c r="F38" s="61">
        <v>395.04999999999995</v>
      </c>
      <c r="G38" s="92">
        <v>365</v>
      </c>
      <c r="H38" s="49"/>
      <c r="I38" s="64"/>
    </row>
    <row r="39" spans="1:10" ht="13.8">
      <c r="A39" s="15" t="s">
        <v>43</v>
      </c>
      <c r="B39" s="92">
        <v>378.4</v>
      </c>
      <c r="C39" s="61">
        <v>352.5</v>
      </c>
      <c r="D39" s="61">
        <v>270</v>
      </c>
      <c r="E39" s="53" t="s">
        <v>78</v>
      </c>
      <c r="F39" s="61">
        <v>349.3</v>
      </c>
      <c r="G39" s="92">
        <v>365</v>
      </c>
      <c r="H39" s="49"/>
      <c r="I39" s="64"/>
    </row>
    <row r="40" spans="1:10" ht="13.8">
      <c r="A40" s="15" t="s">
        <v>44</v>
      </c>
      <c r="B40" s="92">
        <v>363.625</v>
      </c>
      <c r="C40" s="61">
        <v>355</v>
      </c>
      <c r="D40" s="61">
        <v>210</v>
      </c>
      <c r="E40" s="53" t="s">
        <v>78</v>
      </c>
      <c r="F40" s="61">
        <v>357.75</v>
      </c>
      <c r="G40" s="92" t="s">
        <v>78</v>
      </c>
      <c r="H40" s="49"/>
      <c r="I40" s="64"/>
    </row>
    <row r="41" spans="1:10" ht="16.2">
      <c r="A41" s="82" t="s">
        <v>154</v>
      </c>
      <c r="B41" s="130"/>
      <c r="C41" s="130"/>
      <c r="D41" s="130"/>
      <c r="E41" s="130"/>
      <c r="F41" s="130"/>
      <c r="G41" s="130"/>
      <c r="I41" s="67"/>
    </row>
    <row r="42" spans="1:10" ht="16.2">
      <c r="A42" s="42" t="s">
        <v>155</v>
      </c>
      <c r="B42" s="69"/>
      <c r="C42" s="69"/>
      <c r="D42" s="69"/>
      <c r="E42" s="69"/>
      <c r="F42" s="69"/>
      <c r="G42" s="69"/>
      <c r="I42" s="67"/>
      <c r="J42" s="67"/>
    </row>
    <row r="43" spans="1:10" ht="14.4">
      <c r="A43" s="15" t="s">
        <v>156</v>
      </c>
      <c r="B43" s="15"/>
      <c r="C43" s="15"/>
      <c r="D43" s="15"/>
      <c r="E43" s="15"/>
      <c r="F43" s="69"/>
      <c r="G43" s="69"/>
      <c r="I43" s="67"/>
      <c r="J43" s="67"/>
    </row>
    <row r="44" spans="1:10" ht="13.8">
      <c r="A44" s="20" t="s">
        <v>57</v>
      </c>
      <c r="B44" s="37">
        <f>Contents!A16</f>
        <v>45363</v>
      </c>
      <c r="C44" s="15"/>
      <c r="D44" s="15"/>
      <c r="E44" s="15"/>
      <c r="F44" s="69"/>
      <c r="G44" s="69"/>
      <c r="I44" s="70"/>
      <c r="J44" s="70"/>
    </row>
    <row r="45" spans="1:10" ht="13.8">
      <c r="F45" s="69"/>
      <c r="G45" s="69"/>
      <c r="I45" s="70"/>
      <c r="J45" s="70"/>
    </row>
    <row r="46" spans="1:10" ht="13.8">
      <c r="B46" s="64"/>
      <c r="F46" s="69"/>
      <c r="G46" s="69"/>
      <c r="I46" s="67"/>
      <c r="J46" s="67"/>
    </row>
    <row r="47" spans="1:10">
      <c r="B47" s="96"/>
      <c r="I47" s="67"/>
      <c r="J47" s="67"/>
    </row>
    <row r="48" spans="1:10">
      <c r="I48" s="67"/>
      <c r="J48" s="67"/>
    </row>
    <row r="49" spans="9:10">
      <c r="I49" s="67"/>
      <c r="J49" s="67"/>
    </row>
    <row r="50" spans="9:10">
      <c r="I50" s="67"/>
      <c r="J50" s="67"/>
    </row>
    <row r="51" spans="9:10">
      <c r="I51" s="67"/>
      <c r="J51" s="67"/>
    </row>
    <row r="53" spans="9:10">
      <c r="I53" s="71"/>
      <c r="J53" s="71"/>
    </row>
    <row r="54" spans="9:10">
      <c r="I54" s="71"/>
      <c r="J54" s="71"/>
    </row>
  </sheetData>
  <phoneticPr fontId="40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B5B1F-F1DC-48AB-BC98-2A80471F0B09}">
  <dimension ref="A1:G43"/>
  <sheetViews>
    <sheetView zoomScale="90" zoomScaleNormal="90" workbookViewId="0"/>
  </sheetViews>
  <sheetFormatPr defaultColWidth="8.88671875" defaultRowHeight="13.2"/>
  <cols>
    <col min="1" max="1" width="14.33203125" style="151" customWidth="1"/>
    <col min="2" max="2" width="10" style="151" customWidth="1"/>
    <col min="3" max="3" width="8.88671875" style="151"/>
    <col min="4" max="4" width="10.6640625" style="151" customWidth="1"/>
    <col min="5" max="16384" width="8.88671875" style="151"/>
  </cols>
  <sheetData>
    <row r="1" spans="1:7" ht="26.4">
      <c r="A1" s="150" t="s">
        <v>157</v>
      </c>
      <c r="B1" s="150" t="s">
        <v>162</v>
      </c>
      <c r="C1" s="150" t="s">
        <v>163</v>
      </c>
      <c r="D1" s="150" t="s">
        <v>166</v>
      </c>
      <c r="E1" s="150" t="s">
        <v>164</v>
      </c>
      <c r="F1" s="150" t="s">
        <v>165</v>
      </c>
    </row>
    <row r="2" spans="1:7">
      <c r="A2" s="152" t="s">
        <v>115</v>
      </c>
      <c r="B2" s="153">
        <v>27.155999999999999</v>
      </c>
      <c r="C2" s="153">
        <v>23.803000000000001</v>
      </c>
      <c r="D2" s="153">
        <v>16.643000000000001</v>
      </c>
      <c r="E2" s="154">
        <v>5.3540000000000001</v>
      </c>
      <c r="F2" s="158">
        <v>6.5939999999999941</v>
      </c>
    </row>
    <row r="3" spans="1:7">
      <c r="A3" s="152" t="s">
        <v>116</v>
      </c>
      <c r="B3" s="153">
        <v>26.995999999999999</v>
      </c>
      <c r="C3" s="153">
        <v>32.631999999999998</v>
      </c>
      <c r="D3" s="153">
        <v>20.12</v>
      </c>
      <c r="E3" s="154">
        <v>8.2080000000000002</v>
      </c>
      <c r="F3" s="158">
        <v>7.7469999999999999</v>
      </c>
    </row>
    <row r="4" spans="1:7">
      <c r="A4" s="152" t="s">
        <v>117</v>
      </c>
      <c r="B4" s="153">
        <v>23.734000000000002</v>
      </c>
      <c r="C4" s="153">
        <v>33.030999999999999</v>
      </c>
      <c r="D4" s="153">
        <v>22.562000000000001</v>
      </c>
      <c r="E4" s="154">
        <v>11.923</v>
      </c>
      <c r="F4" s="158">
        <v>8.7450000000000045</v>
      </c>
    </row>
    <row r="5" spans="1:7">
      <c r="A5" s="152" t="s">
        <v>118</v>
      </c>
      <c r="B5" s="153">
        <v>28.89</v>
      </c>
      <c r="C5" s="153">
        <v>33.341999999999999</v>
      </c>
      <c r="D5" s="153">
        <v>18.350000000000001</v>
      </c>
      <c r="E5" s="154">
        <v>25.175999999999998</v>
      </c>
      <c r="F5" s="158">
        <v>8.8629999999999995</v>
      </c>
    </row>
    <row r="6" spans="1:7">
      <c r="A6" s="152" t="s">
        <v>119</v>
      </c>
      <c r="B6" s="153">
        <v>26.65</v>
      </c>
      <c r="C6" s="153">
        <v>20.419</v>
      </c>
      <c r="D6" s="153">
        <v>24.484000000000002</v>
      </c>
      <c r="E6" s="154">
        <v>14.657</v>
      </c>
      <c r="F6" s="158">
        <v>9.3180000000000121</v>
      </c>
    </row>
    <row r="7" spans="1:7">
      <c r="A7" s="152" t="s">
        <v>120</v>
      </c>
      <c r="B7" s="155">
        <v>25.06</v>
      </c>
      <c r="C7" s="154">
        <v>29.579000000000001</v>
      </c>
      <c r="D7" s="154">
        <v>28.856000000000002</v>
      </c>
      <c r="E7" s="154">
        <v>6.9939999999999998</v>
      </c>
      <c r="F7" s="158">
        <v>7.777000000000001</v>
      </c>
    </row>
    <row r="8" spans="1:7">
      <c r="A8" s="152" t="s">
        <v>34</v>
      </c>
      <c r="B8" s="156">
        <v>23.902999999999999</v>
      </c>
      <c r="C8" s="154">
        <v>27.597999999999999</v>
      </c>
      <c r="D8" s="154">
        <v>25.146000000000001</v>
      </c>
      <c r="E8" s="154">
        <v>7.468</v>
      </c>
      <c r="F8" s="158">
        <v>9.811000000000007</v>
      </c>
    </row>
    <row r="9" spans="1:7">
      <c r="A9" s="152" t="s">
        <v>37</v>
      </c>
      <c r="B9" s="155">
        <v>17.209</v>
      </c>
      <c r="C9" s="154">
        <v>37.350999999999999</v>
      </c>
      <c r="D9" s="159">
        <v>32.340000000000003</v>
      </c>
      <c r="E9" s="159">
        <v>7.19</v>
      </c>
      <c r="F9" s="158">
        <v>8.0589999999999975</v>
      </c>
      <c r="G9" s="179"/>
    </row>
    <row r="10" spans="1:7">
      <c r="A10" s="152" t="s">
        <v>167</v>
      </c>
      <c r="B10" s="156">
        <v>25.959</v>
      </c>
      <c r="C10" s="154">
        <v>36.301000000000002</v>
      </c>
      <c r="D10" s="159">
        <v>36.03</v>
      </c>
      <c r="E10" s="159">
        <v>8.5709999999999997</v>
      </c>
      <c r="F10" s="158">
        <v>9.164999999999992</v>
      </c>
    </row>
    <row r="11" spans="1:7">
      <c r="A11" s="152" t="s">
        <v>168</v>
      </c>
      <c r="B11" s="155">
        <v>25.959</v>
      </c>
      <c r="C11" s="154">
        <v>33.051000000000002</v>
      </c>
      <c r="D11" s="159">
        <v>37.58</v>
      </c>
      <c r="E11" s="159">
        <v>8.5709999999999997</v>
      </c>
      <c r="F11" s="158">
        <v>9.1069999999999993</v>
      </c>
    </row>
    <row r="12" spans="1:7">
      <c r="B12" s="157"/>
      <c r="G12" s="178"/>
    </row>
    <row r="13" spans="1:7">
      <c r="B13" s="157"/>
    </row>
    <row r="14" spans="1:7">
      <c r="B14" s="157"/>
    </row>
    <row r="15" spans="1:7">
      <c r="B15" s="157"/>
    </row>
    <row r="16" spans="1:7">
      <c r="B16" s="157"/>
    </row>
    <row r="17" spans="2:2">
      <c r="B17" s="116"/>
    </row>
    <row r="18" spans="2:2">
      <c r="B18" s="116"/>
    </row>
    <row r="19" spans="2:2">
      <c r="B19" s="116"/>
    </row>
    <row r="20" spans="2:2">
      <c r="B20" s="116"/>
    </row>
    <row r="21" spans="2:2">
      <c r="B21" s="116"/>
    </row>
    <row r="22" spans="2:2">
      <c r="B22" s="116"/>
    </row>
    <row r="23" spans="2:2">
      <c r="B23" s="116"/>
    </row>
    <row r="24" spans="2:2">
      <c r="B24" s="116"/>
    </row>
    <row r="25" spans="2:2">
      <c r="B25" s="116"/>
    </row>
    <row r="26" spans="2:2">
      <c r="B26" s="116"/>
    </row>
    <row r="27" spans="2:2">
      <c r="B27" s="116"/>
    </row>
    <row r="28" spans="2:2">
      <c r="B28" s="116"/>
    </row>
    <row r="29" spans="2:2">
      <c r="B29" s="116"/>
    </row>
    <row r="30" spans="2:2">
      <c r="B30" s="116"/>
    </row>
    <row r="31" spans="2:2">
      <c r="B31" s="116"/>
    </row>
    <row r="32" spans="2:2">
      <c r="B32" s="116"/>
    </row>
    <row r="33" spans="2:2">
      <c r="B33" s="116"/>
    </row>
    <row r="34" spans="2:2">
      <c r="B34" s="116"/>
    </row>
    <row r="35" spans="2:2">
      <c r="B35" s="116"/>
    </row>
    <row r="36" spans="2:2">
      <c r="B36" s="116"/>
    </row>
    <row r="37" spans="2:2">
      <c r="B37" s="116"/>
    </row>
    <row r="38" spans="2:2">
      <c r="B38" s="116"/>
    </row>
    <row r="39" spans="2:2">
      <c r="B39" s="116"/>
    </row>
    <row r="40" spans="2:2">
      <c r="B40" s="116"/>
    </row>
    <row r="41" spans="2:2">
      <c r="B41" s="116"/>
    </row>
    <row r="42" spans="2:2">
      <c r="B42" s="116"/>
    </row>
    <row r="43" spans="2:2">
      <c r="B43" s="116"/>
    </row>
  </sheetData>
  <phoneticPr fontId="40" type="noConversion"/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9de858-f9fd-4eb6-bcba-50396646711f">
      <Terms xmlns="http://schemas.microsoft.com/office/infopath/2007/PartnerControls"/>
    </lcf76f155ced4ddcb4097134ff3c332f>
    <TaxCatchAll xmlns="7818c5c2-d41f-4dce-801c-4e3595afcb3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12" ma:contentTypeDescription="Create a new document." ma:contentTypeScope="" ma:versionID="cb5f466491d3170dcd4fd8cc8c250172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32e2056b16ca771c788fa86ed726e67d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74d09ff-db43-4d3e-9bf9-c84f74fa65c9}" ma:internalName="TaxCatchAll" ma:showField="CatchAllData" ma:web="7818c5c2-d41f-4dce-801c-4e3595afcb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F9FD27-698A-4259-BC06-6D4A65A05AE8}">
  <ds:schemaRefs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7818c5c2-d41f-4dce-801c-4e3595afcb3f"/>
    <ds:schemaRef ds:uri="c49de858-f9fd-4eb6-bcba-50396646711f"/>
  </ds:schemaRefs>
</ds:datastoreItem>
</file>

<file path=customXml/itemProps3.xml><?xml version="1.0" encoding="utf-8"?>
<ds:datastoreItem xmlns:ds="http://schemas.openxmlformats.org/officeDocument/2006/customXml" ds:itemID="{C71272CC-18D3-4CD6-8D61-867EDCEBF9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Figure 1</vt:lpstr>
      <vt:lpstr>Figure 2</vt:lpstr>
      <vt:lpstr>Figure 3</vt:lpstr>
      <vt:lpstr>Figure 4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Maria Bukowski;Bryn Swearingen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Bukowski, Maria - REE-ERS</cp:lastModifiedBy>
  <cp:revision/>
  <dcterms:created xsi:type="dcterms:W3CDTF">2001-11-13T16:22:15Z</dcterms:created>
  <dcterms:modified xsi:type="dcterms:W3CDTF">2024-03-12T12:26:18Z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  <property fmtid="{D5CDD505-2E9C-101B-9397-08002B2CF9AE}" pid="3" name="MediaServiceImageTags">
    <vt:lpwstr/>
  </property>
</Properties>
</file>